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Introduction" sheetId="1" r:id="rId1"/>
    <sheet name="British Imperial units" sheetId="2" r:id="rId2"/>
    <sheet name="Numbers" sheetId="3" r:id="rId3"/>
    <sheet name="Length" sheetId="4" r:id="rId4"/>
    <sheet name="Area" sheetId="5" r:id="rId5"/>
    <sheet name="Weight" sheetId="6" r:id="rId6"/>
    <sheet name="Volume" sheetId="7" r:id="rId7"/>
    <sheet name="Speed" sheetId="8" r:id="rId8"/>
    <sheet name="Pressure" sheetId="9" r:id="rId9"/>
    <sheet name="Torque" sheetId="10" r:id="rId10"/>
    <sheet name="Temperature" sheetId="11" r:id="rId11"/>
    <sheet name="Shapes to Area and Volume" sheetId="12" r:id="rId12"/>
    <sheet name="Paper Sizes" sheetId="13" r:id="rId13"/>
    <sheet name="Time Calculator" sheetId="14" r:id="rId14"/>
  </sheets>
  <definedNames>
    <definedName name="_xlnm.Print_Area" localSheetId="4">'Area'!$B$2:$O$18</definedName>
    <definedName name="_xlnm.Print_Area" localSheetId="1">'British Imperial units'!$B$2:$M$101</definedName>
    <definedName name="_xlnm.Print_Area" localSheetId="0">'Introduction'!$B$2:$F$46</definedName>
    <definedName name="_xlnm.Print_Area" localSheetId="3">'Length'!$B$2:$M$44</definedName>
    <definedName name="_xlnm.Print_Area" localSheetId="2">'Numbers'!$B$2:$P$55</definedName>
    <definedName name="_xlnm.Print_Area" localSheetId="12">'Paper Sizes'!$B$2:$R$32</definedName>
    <definedName name="_xlnm.Print_Area" localSheetId="8">'Pressure'!$B$2:$L$18</definedName>
    <definedName name="_xlnm.Print_Area" localSheetId="11">'Shapes to Area and Volume'!$B$2:$N$95</definedName>
    <definedName name="_xlnm.Print_Area" localSheetId="7">'Speed'!$B$2:$K$15</definedName>
    <definedName name="_xlnm.Print_Area" localSheetId="10">'Temperature'!$B$2:$M$10</definedName>
    <definedName name="_xlnm.Print_Area" localSheetId="13">'Time Calculator'!$B$2:$O$26</definedName>
    <definedName name="_xlnm.Print_Area" localSheetId="9">'Torque'!$B$2:$M$10</definedName>
    <definedName name="_xlnm.Print_Area" localSheetId="6">'Volume'!$B$2:$M$27</definedName>
    <definedName name="_xlnm.Print_Area" localSheetId="5">'Weight'!$B$2:$M$11</definedName>
    <definedName name="_xlnm.Print_Titles" localSheetId="1">'British Imperial units'!$2:$5</definedName>
    <definedName name="_xlnm.Print_Titles" localSheetId="2">'Numbers'!$2:$3</definedName>
    <definedName name="_xlnm.Print_Titles" localSheetId="11">'Shapes to Area and Volume'!$2:$4</definedName>
    <definedName name="_xlnm.Print_Titles" localSheetId="13">'Time Calculator'!$2:$3</definedName>
  </definedNames>
  <calcPr fullCalcOnLoad="1"/>
</workbook>
</file>

<file path=xl/comments10.xml><?xml version="1.0" encoding="utf-8"?>
<comments xmlns="http://schemas.openxmlformats.org/spreadsheetml/2006/main">
  <authors>
    <author>Ashley J Hoare</author>
  </authors>
  <commentList>
    <comment ref="E7" authorId="0">
      <text>
        <r>
          <rPr>
            <b/>
            <sz val="10"/>
            <rFont val="Tahoma"/>
            <family val="2"/>
          </rPr>
          <t xml:space="preserve">Pound-Foot
</t>
        </r>
        <r>
          <rPr>
            <b/>
            <sz val="8"/>
            <rFont val="Tahoma"/>
            <family val="0"/>
          </rPr>
          <t xml:space="preserve"> = 1.3558179483314 newton meters</t>
        </r>
      </text>
    </comment>
    <comment ref="I8" authorId="0">
      <text>
        <r>
          <rPr>
            <b/>
            <sz val="8"/>
            <rFont val="Tahoma"/>
            <family val="0"/>
          </rPr>
          <t>Rounded on a 5/4 bases to the nearest 1 newton centimeter</t>
        </r>
      </text>
    </comment>
  </commentList>
</comments>
</file>

<file path=xl/comments11.xml><?xml version="1.0" encoding="utf-8"?>
<comments xmlns="http://schemas.openxmlformats.org/spreadsheetml/2006/main">
  <authors>
    <author>Ashley J Hoare</author>
  </authors>
  <commentList>
    <comment ref="J7" authorId="0">
      <text>
        <r>
          <rPr>
            <b/>
            <sz val="10"/>
            <rFont val="Tahoma"/>
            <family val="2"/>
          </rPr>
          <t>Centigrade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aka "Celsius"
"Distilled Water"
0 = freezing point 
100 = Boiling point</t>
        </r>
      </text>
    </comment>
    <comment ref="C7" authorId="0">
      <text>
        <r>
          <rPr>
            <b/>
            <sz val="10"/>
            <rFont val="Tahoma"/>
            <family val="2"/>
          </rPr>
          <t xml:space="preserve">Fahrenheit
</t>
        </r>
        <r>
          <rPr>
            <b/>
            <sz val="8"/>
            <rFont val="Tahoma"/>
            <family val="2"/>
          </rPr>
          <t>"Distilled Water"</t>
        </r>
        <r>
          <rPr>
            <b/>
            <sz val="8"/>
            <rFont val="Tahoma"/>
            <family val="0"/>
          </rPr>
          <t xml:space="preserve">
32 = freezing point 
212 = Boiling point</t>
        </r>
      </text>
    </comment>
    <comment ref="F7" authorId="0">
      <text>
        <r>
          <rPr>
            <b/>
            <sz val="10"/>
            <rFont val="Tahoma"/>
            <family val="2"/>
          </rPr>
          <t>Kelvin</t>
        </r>
        <r>
          <rPr>
            <b/>
            <sz val="8"/>
            <rFont val="Tahoma"/>
            <family val="0"/>
          </rPr>
          <t xml:space="preserve">
"Distilled Water"
273.15 = freezing point 
373.15 = Boiling point</t>
        </r>
      </text>
    </comment>
    <comment ref="H7" authorId="0">
      <text>
        <r>
          <rPr>
            <b/>
            <sz val="10"/>
            <rFont val="Tahoma"/>
            <family val="2"/>
          </rPr>
          <t>Rankine</t>
        </r>
        <r>
          <rPr>
            <b/>
            <sz val="8"/>
            <rFont val="Tahoma"/>
            <family val="0"/>
          </rPr>
          <t xml:space="preserve">
"Distilled Water"
481.67 = freezing point 
671.67 = Boiling point</t>
        </r>
      </text>
    </comment>
  </commentList>
</comments>
</file>

<file path=xl/comments12.xml><?xml version="1.0" encoding="utf-8"?>
<comments xmlns="http://schemas.openxmlformats.org/spreadsheetml/2006/main">
  <authors>
    <author>Ashley J Hoare</author>
  </authors>
  <commentList>
    <comment ref="M7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9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11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13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15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33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35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37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51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53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55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F62" authorId="0">
      <text>
        <r>
          <rPr>
            <b/>
            <sz val="8"/>
            <rFont val="Tahoma"/>
            <family val="0"/>
          </rPr>
          <t>Rounded on a 5/4 bases to the nearest 0.1 of a decimal place</t>
        </r>
      </text>
    </comment>
    <comment ref="M62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64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G65" authorId="0">
      <text>
        <r>
          <rPr>
            <b/>
            <sz val="8"/>
            <rFont val="Tahoma"/>
            <family val="0"/>
          </rPr>
          <t>Rounded on a 5/4 bases to the nearest 0.1 of a decimal place</t>
        </r>
      </text>
    </comment>
    <comment ref="M66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C69" authorId="0">
      <text>
        <r>
          <rPr>
            <b/>
            <sz val="8"/>
            <rFont val="Tahoma"/>
            <family val="0"/>
          </rPr>
          <t>Rounded on a 5/4 bases to the nearest 0.1 of a decimal place</t>
        </r>
      </text>
    </comment>
    <comment ref="M74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76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87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89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91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F94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18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20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43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45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47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23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25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  <comment ref="M27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</commentList>
</comments>
</file>

<file path=xl/comments14.xml><?xml version="1.0" encoding="utf-8"?>
<comments xmlns="http://schemas.openxmlformats.org/spreadsheetml/2006/main">
  <authors>
    <author>Ashley J Hoare</author>
  </authors>
  <commentList>
    <comment ref="K13" authorId="0">
      <text>
        <r>
          <rPr>
            <b/>
            <sz val="8"/>
            <rFont val="Tahoma"/>
            <family val="0"/>
          </rPr>
          <t>Rounded on a 5/4 bases to the nearest Second</t>
        </r>
      </text>
    </comment>
    <comment ref="E18" authorId="0">
      <text>
        <r>
          <rPr>
            <b/>
            <sz val="8"/>
            <rFont val="Tahoma"/>
            <family val="0"/>
          </rPr>
          <t>We use a 365 day year, with a leap year every 4 years. That's 365.25 days per year. But, three of every four century-years is not a leap year. By doing that we are subtracting off 3 days every 400 years, or .0075 days (10 Minutes 48 Seconds) every year. That gives us a year of 365.243 days.</t>
        </r>
      </text>
    </comment>
    <comment ref="E19" authorId="0">
      <text>
        <r>
          <rPr>
            <b/>
            <sz val="8"/>
            <rFont val="Tahoma"/>
            <family val="0"/>
          </rPr>
          <t>1  January  31 days
2  February  28 days, 29 in leap years
3  March  31 days
4  April  30 days
5  May  31 days
6  June  30 days
7  July  31 days
8  August  31 days
9  September  30 days
10  October  31 days
11  November  30 days
12  December  31 days</t>
        </r>
      </text>
    </comment>
  </commentList>
</comments>
</file>

<file path=xl/comments2.xml><?xml version="1.0" encoding="utf-8"?>
<comments xmlns="http://schemas.openxmlformats.org/spreadsheetml/2006/main">
  <authors>
    <author>Ashley J Hoare</author>
    <author>new user</author>
  </authors>
  <commentList>
    <comment ref="J59" authorId="0">
      <text>
        <r>
          <rPr>
            <b/>
            <sz val="8"/>
            <rFont val="Tahoma"/>
            <family val="0"/>
          </rPr>
          <t>Rounded on a 5/4 bases to the nearest fluid ounce
If = 20 then just under one Pint</t>
        </r>
      </text>
    </comment>
    <comment ref="G74" authorId="0">
      <text>
        <r>
          <rPr>
            <b/>
            <sz val="8"/>
            <rFont val="Tahoma"/>
            <family val="0"/>
          </rPr>
          <t xml:space="preserve">Rounded on a 5/4 bases to the nearest 0.01 Mile per Hour </t>
        </r>
      </text>
    </comment>
    <comment ref="J74" authorId="0">
      <text>
        <r>
          <rPr>
            <b/>
            <sz val="8"/>
            <rFont val="Tahoma"/>
            <family val="0"/>
          </rPr>
          <t>Rounded on a 5/4 bases to the nearest 0.01 Knots</t>
        </r>
      </text>
    </comment>
    <comment ref="G83" authorId="0">
      <text>
        <r>
          <rPr>
            <b/>
            <sz val="8"/>
            <rFont val="Tahoma"/>
            <family val="0"/>
          </rPr>
          <t>Rounded on a 5/4 bases to the nearest 0.01 of a Inch of Mercury</t>
        </r>
      </text>
    </comment>
    <comment ref="J83" authorId="0">
      <text>
        <r>
          <rPr>
            <b/>
            <sz val="8"/>
            <rFont val="Tahoma"/>
            <family val="0"/>
          </rPr>
          <t>Rounded on a 5/4 bases to the nearest 0.01 of a Pound per Square Inch</t>
        </r>
      </text>
    </comment>
    <comment ref="H92" authorId="0">
      <text>
        <r>
          <rPr>
            <b/>
            <sz val="8"/>
            <rFont val="Tahoma"/>
            <family val="0"/>
          </rPr>
          <t>Rounded on a 5/4 bases to the nearest 0.01 Pound-Foot</t>
        </r>
      </text>
    </comment>
    <comment ref="H99" authorId="0">
      <text>
        <r>
          <rPr>
            <b/>
            <sz val="8"/>
            <rFont val="Tahoma"/>
            <family val="0"/>
          </rPr>
          <t>Rounded on a 5/4 bases to the nearest Fahrenheit</t>
        </r>
      </text>
    </comment>
    <comment ref="K14" authorId="0">
      <text>
        <r>
          <rPr>
            <b/>
            <sz val="8"/>
            <rFont val="Tahoma"/>
            <family val="0"/>
          </rPr>
          <t>Rounded on a 5/4 bases to the nearest 0.001 inch
If = 1.000 then just under one Inch</t>
        </r>
      </text>
    </comment>
    <comment ref="K37" authorId="0">
      <text>
        <r>
          <rPr>
            <b/>
            <sz val="8"/>
            <rFont val="Tahoma"/>
            <family val="0"/>
          </rPr>
          <t>Rounded on a 5/4 bases to the nearest Square Foot
If = 9 then just under one Square Yard</t>
        </r>
      </text>
    </comment>
    <comment ref="H41" authorId="0">
      <text>
        <r>
          <rPr>
            <b/>
            <sz val="8"/>
            <rFont val="Tahoma"/>
            <family val="0"/>
          </rPr>
          <t>Rounded on a 5/4 bases to the nearest 0.01  acre</t>
        </r>
      </text>
    </comment>
    <comment ref="J41" authorId="0">
      <text>
        <r>
          <rPr>
            <b/>
            <sz val="8"/>
            <rFont val="Tahoma"/>
            <family val="0"/>
          </rPr>
          <t>Rounded on a 5/4 bases to the nearest 0.01  sq year</t>
        </r>
      </text>
    </comment>
    <comment ref="K48" authorId="0">
      <text>
        <r>
          <rPr>
            <b/>
            <sz val="8"/>
            <rFont val="Tahoma"/>
            <family val="0"/>
          </rPr>
          <t>Rounded on a 5/4 bases to the nearest Square Ounce
If = 16 then just under one Pound</t>
        </r>
      </text>
    </comment>
    <comment ref="G52" authorId="0">
      <text>
        <r>
          <rPr>
            <b/>
            <sz val="8"/>
            <rFont val="Tahoma"/>
            <family val="0"/>
          </rPr>
          <t>Rounded on a 5/4 bases to the nearest 0.01  ton</t>
        </r>
      </text>
    </comment>
    <comment ref="K52" authorId="0">
      <text>
        <r>
          <rPr>
            <b/>
            <sz val="8"/>
            <rFont val="Tahoma"/>
            <family val="0"/>
          </rPr>
          <t>Rounded on a 5/4 bases to the nearest 0.01  pound</t>
        </r>
      </text>
    </comment>
    <comment ref="I63" authorId="0">
      <text>
        <r>
          <rPr>
            <b/>
            <sz val="8"/>
            <rFont val="Tahoma"/>
            <family val="0"/>
          </rPr>
          <t>Rounded on a 5/4 bases to the nearest 0.01  pint</t>
        </r>
      </text>
    </comment>
    <comment ref="K26" authorId="0">
      <text>
        <r>
          <rPr>
            <b/>
            <sz val="8"/>
            <rFont val="Tahoma"/>
            <family val="0"/>
          </rPr>
          <t>Rounded on a 5/4 bases to the nearest 0.01 fathoms
If = 100 then just under one Cable</t>
        </r>
      </text>
    </comment>
    <comment ref="G18" authorId="0">
      <text>
        <r>
          <rPr>
            <b/>
            <sz val="8"/>
            <rFont val="Tahoma"/>
            <family val="0"/>
          </rPr>
          <t>Rounded on a 5/4 bases to the nearest 0.01  mile</t>
        </r>
      </text>
    </comment>
    <comment ref="I18" authorId="0">
      <text>
        <r>
          <rPr>
            <b/>
            <sz val="8"/>
            <rFont val="Tahoma"/>
            <family val="0"/>
          </rPr>
          <t>Rounded on a 5/4 bases to the nearest 0.01  year</t>
        </r>
      </text>
    </comment>
    <comment ref="K18" authorId="0">
      <text>
        <r>
          <rPr>
            <b/>
            <sz val="8"/>
            <rFont val="Tahoma"/>
            <family val="0"/>
          </rPr>
          <t>Rounded on a 5/4 bases to the nearest Fraction</t>
        </r>
      </text>
    </comment>
    <comment ref="K9" authorId="0">
      <text>
        <r>
          <rPr>
            <b/>
            <sz val="8"/>
            <rFont val="Tahoma"/>
            <family val="0"/>
          </rPr>
          <t>Rounded on a 5/4 bases to the nearest Fraction</t>
        </r>
      </text>
    </comment>
    <comment ref="I9" authorId="0">
      <text>
        <r>
          <rPr>
            <b/>
            <sz val="8"/>
            <rFont val="Tahoma"/>
            <family val="0"/>
          </rPr>
          <t>Rounded on a 5/4 bases to the nearest Fraction</t>
        </r>
      </text>
    </comment>
    <comment ref="G9" authorId="0">
      <text>
        <r>
          <rPr>
            <b/>
            <sz val="8"/>
            <rFont val="Tahoma"/>
            <family val="0"/>
          </rPr>
          <t>Rounded on a 5/4 bases to the nearest Fraction</t>
        </r>
      </text>
    </comment>
    <comment ref="G22" authorId="0">
      <text>
        <r>
          <rPr>
            <b/>
            <sz val="8"/>
            <rFont val="Tahoma"/>
            <family val="0"/>
          </rPr>
          <t>Rounded on a 5/4 bases to the nearest 0.001  inch
(one thou)</t>
        </r>
      </text>
    </comment>
    <comment ref="I52" authorId="0">
      <text>
        <r>
          <rPr>
            <b/>
            <sz val="8"/>
            <rFont val="Tahoma"/>
            <family val="0"/>
          </rPr>
          <t>Rounded on a 5/4 bases to the nearest 0.01 of a Stone</t>
        </r>
      </text>
    </comment>
    <comment ref="J67" authorId="1">
      <text>
        <r>
          <rPr>
            <b/>
            <sz val="8"/>
            <rFont val="Tahoma"/>
            <family val="0"/>
          </rPr>
          <t>Rounded on a 5/4 bases to the nearest Cubic Inche
If = 1728 then just under Cubic Foot</t>
        </r>
      </text>
    </comment>
  </commentList>
</comments>
</file>

<file path=xl/comments3.xml><?xml version="1.0" encoding="utf-8"?>
<comments xmlns="http://schemas.openxmlformats.org/spreadsheetml/2006/main">
  <authors>
    <author>Ashley J Hoare</author>
  </authors>
  <commentList>
    <comment ref="I7" authorId="0">
      <text>
        <r>
          <rPr>
            <b/>
            <sz val="10"/>
            <rFont val="Tahoma"/>
            <family val="2"/>
          </rPr>
          <t>Long Dozen</t>
        </r>
        <r>
          <rPr>
            <b/>
            <sz val="8"/>
            <rFont val="Tahoma"/>
            <family val="0"/>
          </rPr>
          <t xml:space="preserve">
aka "Baker's dozen"
= 13</t>
        </r>
      </text>
    </comment>
    <comment ref="J7" authorId="0">
      <text>
        <r>
          <rPr>
            <b/>
            <sz val="10"/>
            <rFont val="Tahoma"/>
            <family val="2"/>
          </rPr>
          <t>Dozen</t>
        </r>
        <r>
          <rPr>
            <b/>
            <sz val="8"/>
            <rFont val="Tahoma"/>
            <family val="0"/>
          </rPr>
          <t xml:space="preserve">
= 12</t>
        </r>
      </text>
    </comment>
    <comment ref="H7" authorId="0">
      <text>
        <r>
          <rPr>
            <b/>
            <sz val="10"/>
            <rFont val="Tahoma"/>
            <family val="2"/>
          </rPr>
          <t xml:space="preserve">Small Gross
</t>
        </r>
        <r>
          <rPr>
            <b/>
            <sz val="8"/>
            <rFont val="Tahoma"/>
            <family val="2"/>
          </rPr>
          <t>aka "great hundred,"</t>
        </r>
        <r>
          <rPr>
            <b/>
            <sz val="8"/>
            <rFont val="Tahoma"/>
            <family val="0"/>
          </rPr>
          <t xml:space="preserve">
= 10 x dozen
= 120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 Gross</t>
        </r>
        <r>
          <rPr>
            <b/>
            <sz val="8"/>
            <rFont val="Tahoma"/>
            <family val="0"/>
          </rPr>
          <t xml:space="preserve">
= dozen  x dozen
= 12  x 12
= 144</t>
        </r>
      </text>
    </comment>
    <comment ref="D7" authorId="0">
      <text>
        <r>
          <rPr>
            <b/>
            <sz val="10"/>
            <rFont val="Tahoma"/>
            <family val="2"/>
          </rPr>
          <t xml:space="preserve"> Great Gross</t>
        </r>
        <r>
          <rPr>
            <b/>
            <sz val="8"/>
            <rFont val="Tahoma"/>
            <family val="0"/>
          </rPr>
          <t xml:space="preserve">
= dozen  x gross
= 12  x 144
= 1728</t>
        </r>
      </text>
    </comment>
    <comment ref="I14" authorId="0">
      <text>
        <r>
          <rPr>
            <b/>
            <sz val="10"/>
            <rFont val="Tahoma"/>
            <family val="2"/>
          </rPr>
          <t>Quire</t>
        </r>
        <r>
          <rPr>
            <b/>
            <sz val="8"/>
            <rFont val="Tahoma"/>
            <family val="0"/>
          </rPr>
          <t xml:space="preserve">
= 24 sheets</t>
        </r>
      </text>
    </comment>
    <comment ref="H14" authorId="0">
      <text>
        <r>
          <rPr>
            <b/>
            <sz val="10"/>
            <rFont val="Tahoma"/>
            <family val="2"/>
          </rPr>
          <t>Ream</t>
        </r>
        <r>
          <rPr>
            <b/>
            <sz val="8"/>
            <rFont val="Tahoma"/>
            <family val="0"/>
          </rPr>
          <t xml:space="preserve">
= 20 quires
= 480 sheets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 Bundle</t>
        </r>
        <r>
          <rPr>
            <b/>
            <sz val="8"/>
            <rFont val="Tahoma"/>
            <family val="0"/>
          </rPr>
          <t xml:space="preserve">
= 2 reams
= 40 quires
=960 Sheets</t>
        </r>
      </text>
    </comment>
    <comment ref="D14" authorId="0">
      <text>
        <r>
          <rPr>
            <b/>
            <sz val="10"/>
            <rFont val="Tahoma"/>
            <family val="2"/>
          </rPr>
          <t>Bale</t>
        </r>
        <r>
          <rPr>
            <b/>
            <sz val="8"/>
            <rFont val="Tahoma"/>
            <family val="0"/>
          </rPr>
          <t xml:space="preserve">
= 5 bundles
= 10 reams
= 200 quires
= 4800 sheets</t>
        </r>
      </text>
    </comment>
    <comment ref="N8" authorId="0">
      <text>
        <r>
          <rPr>
            <b/>
            <sz val="10"/>
            <rFont val="Tahoma"/>
            <family val="2"/>
          </rPr>
          <t>Whole Numbers Only</t>
        </r>
      </text>
    </comment>
    <comment ref="H23" authorId="0">
      <text>
        <r>
          <rPr>
            <b/>
            <sz val="8"/>
            <rFont val="Tahoma"/>
            <family val="0"/>
          </rPr>
          <t>Rounded on a 5/4 bases to the nearest 0.00000001 of a decimal place</t>
        </r>
      </text>
    </comment>
    <comment ref="L15" authorId="0">
      <text>
        <r>
          <rPr>
            <b/>
            <sz val="10"/>
            <rFont val="Tahoma"/>
            <family val="2"/>
          </rPr>
          <t>In Roman Numerals</t>
        </r>
        <r>
          <rPr>
            <b/>
            <sz val="8"/>
            <rFont val="Tahoma"/>
            <family val="0"/>
          </rPr>
          <t xml:space="preserve">
Whole Numbers Only
Only if not more then 3999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Rounded on a 5/4 bases to the nearest Fraction</t>
        </r>
      </text>
    </comment>
    <comment ref="H10" authorId="0">
      <text>
        <r>
          <rPr>
            <b/>
            <sz val="10"/>
            <rFont val="Tahoma"/>
            <family val="2"/>
          </rPr>
          <t>Couple</t>
        </r>
        <r>
          <rPr>
            <b/>
            <sz val="8"/>
            <rFont val="Tahoma"/>
            <family val="0"/>
          </rPr>
          <t xml:space="preserve">
= 2</t>
        </r>
      </text>
    </comment>
    <comment ref="J31" authorId="0">
      <text>
        <r>
          <rPr>
            <b/>
            <sz val="8"/>
            <rFont val="Tahoma"/>
            <family val="0"/>
          </rPr>
          <t>Rounded on a 5/4 bases to the nearest Fraction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Rounded on a 5/4 bases to the nearest Fraction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Rounded on a 5/4 bases to the nearest 0.01 of a decimal place</t>
        </r>
      </text>
    </comment>
  </commentList>
</comments>
</file>

<file path=xl/comments4.xml><?xml version="1.0" encoding="utf-8"?>
<comments xmlns="http://schemas.openxmlformats.org/spreadsheetml/2006/main">
  <authors>
    <author>Ashley J Hoare</author>
  </authors>
  <commentList>
    <comment ref="G7" authorId="0">
      <text>
        <r>
          <rPr>
            <b/>
            <sz val="10"/>
            <rFont val="Tahoma"/>
            <family val="2"/>
          </rPr>
          <t>Foot</t>
        </r>
        <r>
          <rPr>
            <b/>
            <sz val="8"/>
            <rFont val="Tahoma"/>
            <family val="0"/>
          </rPr>
          <t xml:space="preserve">
=12 inches</t>
        </r>
      </text>
    </comment>
    <comment ref="F7" authorId="0">
      <text>
        <r>
          <rPr>
            <b/>
            <sz val="10"/>
            <rFont val="Tahoma"/>
            <family val="2"/>
          </rPr>
          <t>Yard</t>
        </r>
        <r>
          <rPr>
            <b/>
            <sz val="8"/>
            <rFont val="Tahoma"/>
            <family val="0"/>
          </rPr>
          <t xml:space="preserve">
=3 feet
= 36 inches</t>
        </r>
      </text>
    </comment>
    <comment ref="E7" authorId="0">
      <text>
        <r>
          <rPr>
            <b/>
            <sz val="10"/>
            <rFont val="Tahoma"/>
            <family val="2"/>
          </rPr>
          <t>Furlong</t>
        </r>
        <r>
          <rPr>
            <b/>
            <sz val="8"/>
            <rFont val="Tahoma"/>
            <family val="0"/>
          </rPr>
          <t xml:space="preserve">
= 220 yards
= 660 feet
= 7920 inches</t>
        </r>
      </text>
    </comment>
    <comment ref="C7" authorId="0">
      <text>
        <r>
          <rPr>
            <b/>
            <sz val="10"/>
            <rFont val="Tahoma"/>
            <family val="2"/>
          </rPr>
          <t>Mile</t>
        </r>
        <r>
          <rPr>
            <b/>
            <sz val="8"/>
            <rFont val="Tahoma"/>
            <family val="0"/>
          </rPr>
          <t xml:space="preserve">
= 8 furlongs
= 1760 yards
= 5280 feet
= 63360 inches</t>
        </r>
      </text>
    </comment>
    <comment ref="F13" authorId="0">
      <text>
        <r>
          <rPr>
            <b/>
            <sz val="10"/>
            <rFont val="Tahoma"/>
            <family val="2"/>
          </rPr>
          <t>Poles/Rods</t>
        </r>
        <r>
          <rPr>
            <b/>
            <sz val="8"/>
            <rFont val="Tahoma"/>
            <family val="0"/>
          </rPr>
          <t xml:space="preserve">
= 5½ yards 
= 16½ feet
= 49½ hands
= 198 inches</t>
        </r>
      </text>
    </comment>
    <comment ref="E13" authorId="0">
      <text>
        <r>
          <rPr>
            <b/>
            <sz val="10"/>
            <rFont val="Tahoma"/>
            <family val="2"/>
          </rPr>
          <t>Chain</t>
        </r>
        <r>
          <rPr>
            <b/>
            <sz val="8"/>
            <rFont val="Tahoma"/>
            <family val="0"/>
          </rPr>
          <t xml:space="preserve">
= 4 poles/rods
= 100 links
= 22 yards
= 66 feet
= 792 inches</t>
        </r>
      </text>
    </comment>
    <comment ref="C13" authorId="0">
      <text>
        <r>
          <rPr>
            <b/>
            <sz val="10"/>
            <rFont val="Tahoma"/>
            <family val="2"/>
          </rPr>
          <t>League</t>
        </r>
        <r>
          <rPr>
            <b/>
            <sz val="8"/>
            <rFont val="Tahoma"/>
            <family val="0"/>
          </rPr>
          <t xml:space="preserve">
= 3 miles
= 26 Furlong
= 5280 yards 
= 15840 feet
= 190080 inches</t>
        </r>
      </text>
    </comment>
    <comment ref="C25" authorId="0">
      <text>
        <r>
          <rPr>
            <b/>
            <sz val="10"/>
            <rFont val="Tahoma"/>
            <family val="2"/>
          </rPr>
          <t>Thuus
Enter 1 to 999</t>
        </r>
      </text>
    </comment>
    <comment ref="J8" authorId="0">
      <text>
        <r>
          <rPr>
            <b/>
            <sz val="8"/>
            <rFont val="Tahoma"/>
            <family val="0"/>
          </rPr>
          <t>Rounded on a 5/4 bases to the nearest millimetre</t>
        </r>
      </text>
    </comment>
    <comment ref="J14" authorId="0">
      <text>
        <r>
          <rPr>
            <b/>
            <sz val="8"/>
            <rFont val="Tahoma"/>
            <family val="0"/>
          </rPr>
          <t>Rounded on a 5/4 bases to the nearest metre</t>
        </r>
      </text>
    </comment>
    <comment ref="J26" authorId="0">
      <text>
        <r>
          <rPr>
            <b/>
            <sz val="8"/>
            <rFont val="Tahoma"/>
            <family val="0"/>
          </rPr>
          <t>Rounded on a 5/4 bases to the nearest 0.001 of a millimetre</t>
        </r>
      </text>
    </comment>
    <comment ref="G13" authorId="0">
      <text>
        <r>
          <rPr>
            <b/>
            <sz val="10"/>
            <rFont val="Tahoma"/>
            <family val="2"/>
          </rPr>
          <t>Link</t>
        </r>
        <r>
          <rPr>
            <b/>
            <sz val="8"/>
            <rFont val="Tahoma"/>
            <family val="0"/>
          </rPr>
          <t xml:space="preserve">
= 7.92 inches</t>
        </r>
      </text>
    </comment>
    <comment ref="H13" authorId="0">
      <text>
        <r>
          <rPr>
            <b/>
            <sz val="10"/>
            <rFont val="Tahoma"/>
            <family val="2"/>
          </rPr>
          <t>Hand</t>
        </r>
        <r>
          <rPr>
            <b/>
            <sz val="8"/>
            <rFont val="Tahoma"/>
            <family val="0"/>
          </rPr>
          <t xml:space="preserve">
= 4 inches</t>
        </r>
      </text>
    </comment>
    <comment ref="F17" authorId="0">
      <text>
        <r>
          <rPr>
            <b/>
            <sz val="10"/>
            <rFont val="Tahoma"/>
            <family val="2"/>
          </rPr>
          <t>Fathom</t>
        </r>
        <r>
          <rPr>
            <b/>
            <sz val="8"/>
            <rFont val="Tahoma"/>
            <family val="0"/>
          </rPr>
          <t xml:space="preserve">
Just over 2 yards 
Just over 6 feet
about 73 inches</t>
        </r>
      </text>
    </comment>
    <comment ref="E17" authorId="0">
      <text>
        <r>
          <rPr>
            <b/>
            <sz val="10"/>
            <rFont val="Tahoma"/>
            <family val="2"/>
          </rPr>
          <t>Cable</t>
        </r>
        <r>
          <rPr>
            <b/>
            <sz val="8"/>
            <rFont val="Tahoma"/>
            <family val="0"/>
          </rPr>
          <t xml:space="preserve">
= 100 Fathoms</t>
        </r>
      </text>
    </comment>
    <comment ref="K18" authorId="0">
      <text>
        <r>
          <rPr>
            <b/>
            <sz val="8"/>
            <rFont val="Tahoma"/>
            <family val="0"/>
          </rPr>
          <t>Rounded on a 5/4 bases to the nearest inch</t>
        </r>
      </text>
    </comment>
    <comment ref="B17" authorId="0">
      <text>
        <r>
          <rPr>
            <b/>
            <sz val="10"/>
            <rFont val="Tahoma"/>
            <family val="2"/>
          </rPr>
          <t>Nautical Mile</t>
        </r>
        <r>
          <rPr>
            <b/>
            <sz val="8"/>
            <rFont val="Tahoma"/>
            <family val="0"/>
          </rPr>
          <t xml:space="preserve">
= 10 Cables
= 1000 Fathoms</t>
        </r>
      </text>
    </comment>
  </commentList>
</comments>
</file>

<file path=xl/comments5.xml><?xml version="1.0" encoding="utf-8"?>
<comments xmlns="http://schemas.openxmlformats.org/spreadsheetml/2006/main">
  <authors>
    <author>Ashley J Hoare</author>
  </authors>
  <commentList>
    <comment ref="G7" authorId="0">
      <text>
        <r>
          <rPr>
            <b/>
            <sz val="10"/>
            <rFont val="Tahoma"/>
            <family val="2"/>
          </rPr>
          <t>Rood</t>
        </r>
        <r>
          <rPr>
            <b/>
            <sz val="8"/>
            <rFont val="Tahoma"/>
            <family val="0"/>
          </rPr>
          <t xml:space="preserve">
1 furlong × 1 rod
= 10,890 Square Feet
= 1210 Square Yards
= 40 Perches / Pole</t>
        </r>
      </text>
    </comment>
    <comment ref="H7" authorId="0">
      <text>
        <r>
          <rPr>
            <b/>
            <sz val="10"/>
            <rFont val="Tahoma"/>
            <family val="2"/>
          </rPr>
          <t xml:space="preserve">Perch
</t>
        </r>
        <r>
          <rPr>
            <b/>
            <sz val="8"/>
            <rFont val="Tahoma"/>
            <family val="2"/>
          </rPr>
          <t>aka Pole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 rod × 1 rod
= 272.25 Square Feet</t>
        </r>
        <r>
          <rPr>
            <b/>
            <sz val="8"/>
            <rFont val="Tahoma"/>
            <family val="0"/>
          </rPr>
          <t xml:space="preserve">
= 30.25 Square Yards</t>
        </r>
      </text>
    </comment>
    <comment ref="I7" authorId="0">
      <text>
        <r>
          <rPr>
            <b/>
            <sz val="10"/>
            <rFont val="Tahoma"/>
            <family val="2"/>
          </rPr>
          <t>Square Yard</t>
        </r>
        <r>
          <rPr>
            <b/>
            <sz val="8"/>
            <rFont val="Tahoma"/>
            <family val="0"/>
          </rPr>
          <t xml:space="preserve">
= 9 Square Feet</t>
        </r>
      </text>
    </comment>
    <comment ref="L8" authorId="0">
      <text>
        <r>
          <rPr>
            <b/>
            <sz val="8"/>
            <rFont val="Tahoma"/>
            <family val="0"/>
          </rPr>
          <t>Rounded on a 5/4 bases to the nearest 0.001 of a Square kilometre</t>
        </r>
      </text>
    </comment>
    <comment ref="L12" authorId="0">
      <text>
        <r>
          <rPr>
            <b/>
            <sz val="8"/>
            <rFont val="Tahoma"/>
            <family val="0"/>
          </rPr>
          <t>Rounded on a 5/4 bases to the nearest 0.001 of an hectare</t>
        </r>
      </text>
    </comment>
    <comment ref="F7" authorId="0">
      <text>
        <r>
          <rPr>
            <b/>
            <sz val="10"/>
            <rFont val="Tahoma"/>
            <family val="2"/>
          </rPr>
          <t>Acre</t>
        </r>
        <r>
          <rPr>
            <b/>
            <sz val="8"/>
            <rFont val="Tahoma"/>
            <family val="0"/>
          </rPr>
          <t xml:space="preserve">
1 furlong × 1 chain
= 43,560 Square Feet
= 4,840 Square Yards
= 160 Perches  / Pole
= 4 Roods</t>
        </r>
      </text>
    </comment>
    <comment ref="E7" authorId="0">
      <text>
        <r>
          <rPr>
            <b/>
            <sz val="10"/>
            <rFont val="Tahoma"/>
            <family val="2"/>
          </rPr>
          <t>Hide</t>
        </r>
        <r>
          <rPr>
            <b/>
            <sz val="8"/>
            <rFont val="Tahoma"/>
            <family val="0"/>
          </rPr>
          <t xml:space="preserve">
Originally a hide was a portion of land which could be cultivated in a year by a full plough team of 8 oxen; the area depended on the type of soil but was typically 120 acres</t>
        </r>
      </text>
    </comment>
    <comment ref="L16" authorId="0">
      <text>
        <r>
          <rPr>
            <b/>
            <sz val="8"/>
            <rFont val="Tahoma"/>
            <family val="0"/>
          </rPr>
          <t>Rounded on a 5/4 bases to the nearest 0.01 of a Square metre</t>
        </r>
      </text>
    </comment>
    <comment ref="B7" authorId="0">
      <text>
        <r>
          <rPr>
            <b/>
            <sz val="10"/>
            <rFont val="Tahoma"/>
            <family val="2"/>
          </rPr>
          <t>Square Mile</t>
        </r>
        <r>
          <rPr>
            <b/>
            <sz val="8"/>
            <rFont val="Tahoma"/>
            <family val="0"/>
          </rPr>
          <t xml:space="preserve">
= 640 Acres
= 2560 Roods
= 102400 Perches
=3097600 Square Year
= 27878400 Square Feet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10"/>
            <rFont val="Tahoma"/>
            <family val="2"/>
          </rPr>
          <t>Acres</t>
        </r>
        <r>
          <rPr>
            <b/>
            <sz val="8"/>
            <rFont val="Tahoma"/>
            <family val="0"/>
          </rPr>
          <t xml:space="preserve">
As used on some Ordnance Survey maps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Rounded on a 5/4 bases to the nearest 0.01 of a acres</t>
        </r>
      </text>
    </comment>
    <comment ref="I13" authorId="0">
      <text>
        <r>
          <rPr>
            <b/>
            <sz val="8"/>
            <rFont val="Tahoma"/>
            <family val="0"/>
          </rPr>
          <t>Rounded on a 5/4 bases to the nearest 0.01 of a perch</t>
        </r>
      </text>
    </comment>
  </commentList>
</comments>
</file>

<file path=xl/comments6.xml><?xml version="1.0" encoding="utf-8"?>
<comments xmlns="http://schemas.openxmlformats.org/spreadsheetml/2006/main">
  <authors>
    <author>Ashley J Hoare</author>
  </authors>
  <commentList>
    <comment ref="E7" authorId="0">
      <text>
        <r>
          <rPr>
            <b/>
            <sz val="10"/>
            <rFont val="Tahoma"/>
            <family val="2"/>
          </rPr>
          <t>Hundredweight</t>
        </r>
        <r>
          <rPr>
            <b/>
            <sz val="8"/>
            <rFont val="Tahoma"/>
            <family val="0"/>
          </rPr>
          <t xml:space="preserve">
= 1792 Ounces
= 112 Pounds
= 8 Stone</t>
        </r>
      </text>
    </comment>
    <comment ref="F7" authorId="0">
      <text>
        <r>
          <rPr>
            <b/>
            <sz val="10"/>
            <rFont val="Tahoma"/>
            <family val="2"/>
          </rPr>
          <t>Stone</t>
        </r>
        <r>
          <rPr>
            <b/>
            <sz val="8"/>
            <rFont val="Tahoma"/>
            <family val="0"/>
          </rPr>
          <t xml:space="preserve">
= 224 Ounces
= 14 Pounds</t>
        </r>
      </text>
    </comment>
    <comment ref="G7" authorId="0">
      <text>
        <r>
          <rPr>
            <b/>
            <sz val="10"/>
            <rFont val="Tahoma"/>
            <family val="2"/>
          </rPr>
          <t>Pound</t>
        </r>
        <r>
          <rPr>
            <b/>
            <sz val="8"/>
            <rFont val="Tahoma"/>
            <family val="0"/>
          </rPr>
          <t xml:space="preserve">
= 16 Ounces</t>
        </r>
      </text>
    </comment>
    <comment ref="C7" authorId="0">
      <text>
        <r>
          <rPr>
            <b/>
            <sz val="10"/>
            <rFont val="Tahoma"/>
            <family val="2"/>
          </rPr>
          <t>Ton</t>
        </r>
        <r>
          <rPr>
            <b/>
            <sz val="8"/>
            <rFont val="Tahoma"/>
            <family val="0"/>
          </rPr>
          <t xml:space="preserve">
= 35840 Ounces
= 2240 Pounds
= 160 Stones
= 20 Hundredweights</t>
        </r>
      </text>
    </comment>
    <comment ref="J8" authorId="0">
      <text>
        <r>
          <rPr>
            <b/>
            <sz val="8"/>
            <rFont val="Tahoma"/>
            <family val="0"/>
          </rPr>
          <t>Rounded on a 5/4 bases to the nearest gram</t>
        </r>
      </text>
    </comment>
  </commentList>
</comments>
</file>

<file path=xl/comments7.xml><?xml version="1.0" encoding="utf-8"?>
<comments xmlns="http://schemas.openxmlformats.org/spreadsheetml/2006/main">
  <authors>
    <author>Ashley J Hoare</author>
    <author>new user</author>
  </authors>
  <commentList>
    <comment ref="E7" authorId="0">
      <text>
        <r>
          <rPr>
            <b/>
            <sz val="10"/>
            <rFont val="Tahoma"/>
            <family val="2"/>
          </rPr>
          <t>Quart</t>
        </r>
        <r>
          <rPr>
            <b/>
            <sz val="8"/>
            <rFont val="Tahoma"/>
            <family val="2"/>
          </rPr>
          <t xml:space="preserve">
= 2 pints
= 8 gills
= 40 fluid ounces</t>
        </r>
      </text>
    </comment>
    <comment ref="F7" authorId="0">
      <text>
        <r>
          <rPr>
            <b/>
            <sz val="10"/>
            <rFont val="Tahoma"/>
            <family val="2"/>
          </rPr>
          <t>Pint</t>
        </r>
        <r>
          <rPr>
            <b/>
            <sz val="8"/>
            <rFont val="Tahoma"/>
            <family val="2"/>
          </rPr>
          <t xml:space="preserve">
= 4 gills
= 20 fluid ounces</t>
        </r>
      </text>
    </comment>
    <comment ref="G7" authorId="0">
      <text>
        <r>
          <rPr>
            <b/>
            <sz val="10"/>
            <rFont val="Tahoma"/>
            <family val="2"/>
          </rPr>
          <t>Gill</t>
        </r>
        <r>
          <rPr>
            <b/>
            <sz val="8"/>
            <rFont val="Tahoma"/>
            <family val="2"/>
          </rPr>
          <t xml:space="preserve">
= 5 fluid ounces</t>
        </r>
      </text>
    </comment>
    <comment ref="C7" authorId="0">
      <text>
        <r>
          <rPr>
            <b/>
            <sz val="10"/>
            <rFont val="Tahoma"/>
            <family val="2"/>
          </rPr>
          <t>Gallon</t>
        </r>
        <r>
          <rPr>
            <b/>
            <sz val="8"/>
            <rFont val="Tahoma"/>
            <family val="0"/>
          </rPr>
          <t xml:space="preserve">
= 4 quarts
= 8 pints
= 32 gills
= 160 fluid ounces</t>
        </r>
      </text>
    </comment>
    <comment ref="K8" authorId="0">
      <text>
        <r>
          <rPr>
            <b/>
            <sz val="8"/>
            <rFont val="Tahoma"/>
            <family val="0"/>
          </rPr>
          <t>Rounded on a 5/4 bases to the nearest millilitre</t>
        </r>
      </text>
    </comment>
    <comment ref="C17" authorId="0">
      <text>
        <r>
          <rPr>
            <b/>
            <sz val="10"/>
            <rFont val="Tahoma"/>
            <family val="2"/>
          </rPr>
          <t>Tun</t>
        </r>
        <r>
          <rPr>
            <b/>
            <sz val="8"/>
            <rFont val="Tahoma"/>
            <family val="0"/>
          </rPr>
          <t xml:space="preserve">
= 2 butts
=  3 puncheons
= 2 butts
= 4 hogsheads
= 216 gallons</t>
        </r>
      </text>
    </comment>
    <comment ref="E17" authorId="0">
      <text>
        <r>
          <rPr>
            <b/>
            <sz val="10"/>
            <rFont val="Tahoma"/>
            <family val="2"/>
          </rPr>
          <t xml:space="preserve">Butt
</t>
        </r>
        <r>
          <rPr>
            <b/>
            <sz val="8"/>
            <rFont val="Tahoma"/>
            <family val="2"/>
          </rPr>
          <t>= 1½ puncheons</t>
        </r>
        <r>
          <rPr>
            <b/>
            <sz val="8"/>
            <rFont val="Tahoma"/>
            <family val="0"/>
          </rPr>
          <t xml:space="preserve">
= 2 hogshead
= 12 firkins
= 108 gallons</t>
        </r>
      </text>
    </comment>
    <comment ref="F17" authorId="0">
      <text>
        <r>
          <rPr>
            <b/>
            <sz val="10"/>
            <rFont val="Tahoma"/>
            <family val="2"/>
          </rPr>
          <t>Puncheon</t>
        </r>
        <r>
          <rPr>
            <b/>
            <sz val="8"/>
            <rFont val="Tahoma"/>
            <family val="0"/>
          </rPr>
          <t xml:space="preserve">
= 2 barrels
= 8 firkins
= 72 gallons</t>
        </r>
      </text>
    </comment>
    <comment ref="G17" authorId="0">
      <text>
        <r>
          <rPr>
            <b/>
            <sz val="10"/>
            <rFont val="Tahoma"/>
            <family val="2"/>
          </rPr>
          <t>Hogshead</t>
        </r>
        <r>
          <rPr>
            <b/>
            <sz val="8"/>
            <rFont val="Tahoma"/>
            <family val="0"/>
          </rPr>
          <t xml:space="preserve">
= 1½ barrels
=  6 firkins
= 54 gallons</t>
        </r>
      </text>
    </comment>
    <comment ref="H17" authorId="0">
      <text>
        <r>
          <rPr>
            <b/>
            <sz val="10"/>
            <rFont val="Tahoma"/>
            <family val="2"/>
          </rPr>
          <t>Barrel</t>
        </r>
        <r>
          <rPr>
            <b/>
            <sz val="8"/>
            <rFont val="Tahoma"/>
            <family val="0"/>
          </rPr>
          <t xml:space="preserve">
=  2 kilderkins
= 4 firkins
= 36 gallons</t>
        </r>
      </text>
    </comment>
    <comment ref="E20" authorId="0">
      <text>
        <r>
          <rPr>
            <b/>
            <sz val="10"/>
            <rFont val="Tahoma"/>
            <family val="2"/>
          </rPr>
          <t>Kilderkin</t>
        </r>
        <r>
          <rPr>
            <b/>
            <sz val="8"/>
            <rFont val="Tahoma"/>
            <family val="0"/>
          </rPr>
          <t xml:space="preserve">
= 2 firkins
= 18 gallons</t>
        </r>
      </text>
    </comment>
    <comment ref="F20" authorId="0">
      <text>
        <r>
          <rPr>
            <b/>
            <sz val="10"/>
            <rFont val="Tahoma"/>
            <family val="2"/>
          </rPr>
          <t>Firkin</t>
        </r>
        <r>
          <rPr>
            <b/>
            <sz val="8"/>
            <rFont val="Tahoma"/>
            <family val="0"/>
          </rPr>
          <t xml:space="preserve">
= 2 pins
= 9 gallons</t>
        </r>
      </text>
    </comment>
    <comment ref="G20" authorId="0">
      <text>
        <r>
          <rPr>
            <b/>
            <sz val="10"/>
            <rFont val="Tahoma"/>
            <family val="2"/>
          </rPr>
          <t>Pin</t>
        </r>
        <r>
          <rPr>
            <b/>
            <sz val="8"/>
            <rFont val="Tahoma"/>
            <family val="0"/>
          </rPr>
          <t xml:space="preserve">
= 4½ gallons</t>
        </r>
      </text>
    </comment>
    <comment ref="E12" authorId="0">
      <text>
        <r>
          <rPr>
            <b/>
            <sz val="10"/>
            <rFont val="Tahoma"/>
            <family val="2"/>
          </rPr>
          <t>Sacks or Bags</t>
        </r>
        <r>
          <rPr>
            <b/>
            <sz val="8"/>
            <rFont val="Tahoma"/>
            <family val="0"/>
          </rPr>
          <t xml:space="preserve">
= 3 bushels
= 24 gallons</t>
        </r>
      </text>
    </comment>
    <comment ref="L21" authorId="0">
      <text>
        <r>
          <rPr>
            <b/>
            <sz val="8"/>
            <rFont val="Tahoma"/>
            <family val="0"/>
          </rPr>
          <t>Rounded on a 5/4 bases to the nearest fluid ounce</t>
        </r>
      </text>
    </comment>
    <comment ref="F12" authorId="0">
      <text>
        <r>
          <rPr>
            <b/>
            <sz val="10"/>
            <rFont val="Tahoma"/>
            <family val="2"/>
          </rPr>
          <t>Bushel</t>
        </r>
        <r>
          <rPr>
            <b/>
            <sz val="8"/>
            <rFont val="Tahoma"/>
            <family val="0"/>
          </rPr>
          <t xml:space="preserve">
= 4 pecks
= 8 gallons</t>
        </r>
      </text>
    </comment>
    <comment ref="G12" authorId="0">
      <text>
        <r>
          <rPr>
            <b/>
            <sz val="10"/>
            <rFont val="Tahoma"/>
            <family val="2"/>
          </rPr>
          <t>Peck</t>
        </r>
        <r>
          <rPr>
            <b/>
            <sz val="8"/>
            <rFont val="Tahoma"/>
            <family val="0"/>
          </rPr>
          <t xml:space="preserve">
= 2 gallons</t>
        </r>
      </text>
    </comment>
    <comment ref="C12" authorId="0">
      <text>
        <r>
          <rPr>
            <b/>
            <sz val="10"/>
            <rFont val="Tahoma"/>
            <family val="2"/>
          </rPr>
          <t>Load</t>
        </r>
        <r>
          <rPr>
            <b/>
            <sz val="8"/>
            <rFont val="Tahoma"/>
            <family val="0"/>
          </rPr>
          <t xml:space="preserve">
= 40 bushel
= 320 gallons</t>
        </r>
      </text>
    </comment>
    <comment ref="G24" authorId="0">
      <text>
        <r>
          <rPr>
            <b/>
            <sz val="10"/>
            <rFont val="Tahoma"/>
            <family val="2"/>
          </rPr>
          <t>Cubic Inch</t>
        </r>
        <r>
          <rPr>
            <b/>
            <sz val="8"/>
            <rFont val="Tahoma"/>
            <family val="0"/>
          </rPr>
          <t xml:space="preserve">
= 0.58 fluid ounces</t>
        </r>
      </text>
    </comment>
    <comment ref="F24" authorId="0">
      <text>
        <r>
          <rPr>
            <b/>
            <sz val="10"/>
            <rFont val="Tahoma"/>
            <family val="2"/>
          </rPr>
          <t>Cubic Foot</t>
        </r>
        <r>
          <rPr>
            <b/>
            <sz val="8"/>
            <rFont val="Tahoma"/>
            <family val="0"/>
          </rPr>
          <t xml:space="preserve">
= 1728 cubic inches
= 996.61 fluid ounces</t>
        </r>
      </text>
    </comment>
    <comment ref="E24" authorId="0">
      <text>
        <r>
          <rPr>
            <b/>
            <sz val="10"/>
            <rFont val="Tahoma"/>
            <family val="2"/>
          </rPr>
          <t>Cubic Yard</t>
        </r>
        <r>
          <rPr>
            <b/>
            <sz val="8"/>
            <rFont val="Tahoma"/>
            <family val="0"/>
          </rPr>
          <t xml:space="preserve">
= 27 cubic feet
= 46656 cubic inches
= 26908.57 fluid ounces</t>
        </r>
      </text>
    </comment>
    <comment ref="K25" authorId="1">
      <text>
        <r>
          <rPr>
            <b/>
            <sz val="8"/>
            <rFont val="Tahoma"/>
            <family val="0"/>
          </rPr>
          <t>Rounded on a 5/4 bases to the nearest 0.000 of Cubic Meter</t>
        </r>
      </text>
    </comment>
  </commentList>
</comments>
</file>

<file path=xl/comments8.xml><?xml version="1.0" encoding="utf-8"?>
<comments xmlns="http://schemas.openxmlformats.org/spreadsheetml/2006/main">
  <authors>
    <author>Ashley J Hoare</author>
  </authors>
  <commentList>
    <comment ref="H7" authorId="0">
      <text>
        <r>
          <rPr>
            <b/>
            <sz val="10"/>
            <rFont val="Tahoma"/>
            <family val="2"/>
          </rPr>
          <t>Kilometer per Hour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1225 = Speed of Sound 
1079869824 = Speed of Light</t>
        </r>
      </text>
    </comment>
    <comment ref="C7" authorId="0">
      <text>
        <r>
          <rPr>
            <b/>
            <sz val="10"/>
            <rFont val="Tahoma"/>
            <family val="2"/>
          </rPr>
          <t xml:space="preserve">Mile per Hour </t>
        </r>
        <r>
          <rPr>
            <b/>
            <sz val="8"/>
            <rFont val="Tahoma"/>
            <family val="0"/>
          </rPr>
          <t xml:space="preserve">
761 = Speed of Sound 
 671,000,000 = Speed of Light</t>
        </r>
      </text>
    </comment>
    <comment ref="F7" authorId="0">
      <text>
        <r>
          <rPr>
            <b/>
            <sz val="10"/>
            <rFont val="Tahoma"/>
            <family val="2"/>
          </rPr>
          <t>Knot</t>
        </r>
        <r>
          <rPr>
            <b/>
            <sz val="8"/>
            <rFont val="Tahoma"/>
            <family val="0"/>
          </rPr>
          <t xml:space="preserve">
= 1 nautical mile per hour
661 = Speed of Sound 
582,749,918.36 = Speed of Light</t>
        </r>
      </text>
    </comment>
    <comment ref="C12" authorId="0">
      <text>
        <r>
          <rPr>
            <b/>
            <sz val="10"/>
            <rFont val="Tahoma"/>
            <family val="2"/>
          </rPr>
          <t xml:space="preserve">Knot
</t>
        </r>
        <r>
          <rPr>
            <b/>
            <sz val="8"/>
            <rFont val="Tahoma"/>
            <family val="2"/>
          </rPr>
          <t>= 1 nautical mile per hour
661 = Speed of Sound 
582,749,918.36 = Speed of Light</t>
        </r>
      </text>
    </comment>
    <comment ref="H12" authorId="0">
      <text>
        <r>
          <rPr>
            <b/>
            <sz val="10"/>
            <rFont val="Tahoma"/>
            <family val="2"/>
          </rPr>
          <t>Kilometer per Hour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1225 = Speed of Sound 
1079869824 = Speed of Light</t>
        </r>
      </text>
    </comment>
    <comment ref="F12" authorId="0">
      <text>
        <r>
          <rPr>
            <b/>
            <sz val="10"/>
            <rFont val="Tahoma"/>
            <family val="2"/>
          </rPr>
          <t xml:space="preserve">Mile per Hour </t>
        </r>
        <r>
          <rPr>
            <b/>
            <sz val="8"/>
            <rFont val="Tahoma"/>
            <family val="0"/>
          </rPr>
          <t xml:space="preserve">
761 = Speed of Sound 
 671,000,000 = Speed of Light</t>
        </r>
      </text>
    </comment>
    <comment ref="H8" authorId="0">
      <text>
        <r>
          <rPr>
            <b/>
            <sz val="8"/>
            <rFont val="Tahoma"/>
            <family val="0"/>
          </rPr>
          <t>Rounded on a 5/4 bases to the nearest  metre per hour</t>
        </r>
      </text>
    </comment>
    <comment ref="H13" authorId="0">
      <text>
        <r>
          <rPr>
            <b/>
            <sz val="8"/>
            <rFont val="Tahoma"/>
            <family val="0"/>
          </rPr>
          <t>Rounded on a 5/4 bases to the nearest  metre per hour</t>
        </r>
      </text>
    </comment>
    <comment ref="F8" authorId="0">
      <text>
        <r>
          <rPr>
            <b/>
            <sz val="8"/>
            <rFont val="Tahoma"/>
            <family val="0"/>
          </rPr>
          <t>Rounded on a 5/4 bases to the nearest  
0.01 of a knot per hour</t>
        </r>
      </text>
    </comment>
    <comment ref="F13" authorId="0">
      <text>
        <r>
          <rPr>
            <b/>
            <sz val="8"/>
            <rFont val="Tahoma"/>
            <family val="0"/>
          </rPr>
          <t>Rounded on a 5/4 bases to the nearest  
0.01 of a mile per hour</t>
        </r>
      </text>
    </comment>
  </commentList>
</comments>
</file>

<file path=xl/comments9.xml><?xml version="1.0" encoding="utf-8"?>
<comments xmlns="http://schemas.openxmlformats.org/spreadsheetml/2006/main">
  <authors>
    <author>Ashley J Hoare</author>
  </authors>
  <commentList>
    <comment ref="E7" authorId="0">
      <text>
        <r>
          <rPr>
            <b/>
            <sz val="10"/>
            <rFont val="Tahoma"/>
            <family val="2"/>
          </rPr>
          <t>Inches of Mercury</t>
        </r>
        <r>
          <rPr>
            <b/>
            <sz val="8"/>
            <rFont val="Tahoma"/>
            <family val="0"/>
          </rPr>
          <t xml:space="preserve">
1 inHg = 0.491098 psi</t>
        </r>
      </text>
    </comment>
    <comment ref="I12" authorId="0">
      <text>
        <r>
          <rPr>
            <b/>
            <sz val="8"/>
            <rFont val="Tahoma"/>
            <family val="0"/>
          </rPr>
          <t>Rounded on a 5/4 bases to the nearest 0.1 pascal</t>
        </r>
      </text>
    </comment>
    <comment ref="I16" authorId="0">
      <text>
        <r>
          <rPr>
            <b/>
            <sz val="8"/>
            <rFont val="Tahoma"/>
            <family val="0"/>
          </rPr>
          <t>Rounded on a 5/4 bases to the nearest  millibar</t>
        </r>
      </text>
    </comment>
    <comment ref="H7" authorId="0">
      <text>
        <r>
          <rPr>
            <b/>
            <sz val="10"/>
            <rFont val="Tahoma"/>
            <family val="2"/>
          </rPr>
          <t xml:space="preserve">Pounds-Force per Square Foot
</t>
        </r>
        <r>
          <rPr>
            <b/>
            <sz val="8"/>
            <rFont val="Tahoma"/>
            <family val="2"/>
          </rPr>
          <t>Earth's atmosphere at sea level is about 2116.217 psf</t>
        </r>
      </text>
    </comment>
    <comment ref="K7" authorId="0">
      <text>
        <r>
          <rPr>
            <b/>
            <sz val="10"/>
            <rFont val="Tahoma"/>
            <family val="2"/>
          </rPr>
          <t xml:space="preserve">Pounds-Force per Square Inch
</t>
        </r>
        <r>
          <rPr>
            <b/>
            <sz val="8"/>
            <rFont val="Tahoma"/>
            <family val="2"/>
          </rPr>
          <t>Earth's atmosphere at sea level is about 14.7 psi</t>
        </r>
      </text>
    </comment>
    <comment ref="F16" authorId="0">
      <text>
        <r>
          <rPr>
            <b/>
            <sz val="8"/>
            <rFont val="Tahoma"/>
            <family val="0"/>
          </rPr>
          <t>Rounded on a 5/4 bases to the nearest 0.01 atmosphere</t>
        </r>
      </text>
    </comment>
    <comment ref="F15" authorId="0">
      <text>
        <r>
          <rPr>
            <b/>
            <sz val="10"/>
            <rFont val="Tahoma"/>
            <family val="2"/>
          </rPr>
          <t>Atmosphere</t>
        </r>
        <r>
          <rPr>
            <b/>
            <sz val="8"/>
            <rFont val="Tahoma"/>
            <family val="0"/>
          </rPr>
          <t xml:space="preserve">
= 98.0665 kPa
= 29.92 inHg
= 14.696 psi
= 2116.217 psf</t>
        </r>
      </text>
    </comment>
  </commentList>
</comments>
</file>

<file path=xl/sharedStrings.xml><?xml version="1.0" encoding="utf-8"?>
<sst xmlns="http://schemas.openxmlformats.org/spreadsheetml/2006/main" count="593" uniqueCount="361">
  <si>
    <t>www.ajhw.co.uk</t>
  </si>
  <si>
    <t>A.J.H. Computer Services</t>
  </si>
  <si>
    <t>Hundredweights</t>
  </si>
  <si>
    <t>cwt</t>
  </si>
  <si>
    <t>lb</t>
  </si>
  <si>
    <t>oz</t>
  </si>
  <si>
    <t xml:space="preserve">  Pounds</t>
  </si>
  <si>
    <t>st</t>
  </si>
  <si>
    <t xml:space="preserve">  Stones</t>
  </si>
  <si>
    <t>Tons</t>
  </si>
  <si>
    <t>ton</t>
  </si>
  <si>
    <t xml:space="preserve">  Ounces</t>
  </si>
  <si>
    <t>These are for academic use only, and are given here as is</t>
  </si>
  <si>
    <t>British Imperial units Conversions</t>
  </si>
  <si>
    <t>Weight</t>
  </si>
  <si>
    <t>Weight in Kilograms</t>
  </si>
  <si>
    <t>kg</t>
  </si>
  <si>
    <t>Note: 0.001 = One gram</t>
  </si>
  <si>
    <t>Length</t>
  </si>
  <si>
    <t>Length in Metres</t>
  </si>
  <si>
    <t>m</t>
  </si>
  <si>
    <t>Note: 0.001 = One millimetre</t>
  </si>
  <si>
    <t>in</t>
  </si>
  <si>
    <t>ft</t>
  </si>
  <si>
    <t>yd</t>
  </si>
  <si>
    <t>ftm</t>
  </si>
  <si>
    <t>ml</t>
  </si>
  <si>
    <t>lea</t>
  </si>
  <si>
    <t>fur</t>
  </si>
  <si>
    <t>Ch</t>
  </si>
  <si>
    <t>Inches</t>
  </si>
  <si>
    <t>Feet</t>
  </si>
  <si>
    <t>Yards</t>
  </si>
  <si>
    <t>Furlongs</t>
  </si>
  <si>
    <t>Miles</t>
  </si>
  <si>
    <t>Leagues</t>
  </si>
  <si>
    <t>Fathoms</t>
  </si>
  <si>
    <t>Note: 0.001 = One metre</t>
  </si>
  <si>
    <t>km</t>
  </si>
  <si>
    <t>Chains</t>
  </si>
  <si>
    <t>Links</t>
  </si>
  <si>
    <t>lnk</t>
  </si>
  <si>
    <t>Hands</t>
  </si>
  <si>
    <t>h</t>
  </si>
  <si>
    <t>mm</t>
  </si>
  <si>
    <t>th</t>
  </si>
  <si>
    <t>Of an inch</t>
  </si>
  <si>
    <t>Converts Tons, Hundredweights, Stones, Pounds and Ounces to Grams and Kilograms</t>
  </si>
  <si>
    <t>Length in Kilometres</t>
  </si>
  <si>
    <t>Length in Millimetres</t>
  </si>
  <si>
    <t>Temperature</t>
  </si>
  <si>
    <t>Fahrenheit</t>
  </si>
  <si>
    <t>Centigrade</t>
  </si>
  <si>
    <t>Kelvin</t>
  </si>
  <si>
    <t>Rankine</t>
  </si>
  <si>
    <t>°C</t>
  </si>
  <si>
    <t>°F</t>
  </si>
  <si>
    <t>°R</t>
  </si>
  <si>
    <t>K</t>
  </si>
  <si>
    <t>Converts Fahrenheit to centigrade (aka Celsius) also gives the temperatures in Kelvin and Rankine</t>
  </si>
  <si>
    <t>Area</t>
  </si>
  <si>
    <t xml:space="preserve">  Square Feet</t>
  </si>
  <si>
    <t>Acres</t>
  </si>
  <si>
    <t xml:space="preserve">  Roods</t>
  </si>
  <si>
    <t xml:space="preserve">  Perches</t>
  </si>
  <si>
    <t>Square Yards</t>
  </si>
  <si>
    <t>sq-ft</t>
  </si>
  <si>
    <t>sq-yd</t>
  </si>
  <si>
    <t>a</t>
  </si>
  <si>
    <t>ha</t>
  </si>
  <si>
    <t>Area in Hectares</t>
  </si>
  <si>
    <t>Area in Square Metres</t>
  </si>
  <si>
    <t>m²</t>
  </si>
  <si>
    <t>Poles/Rods</t>
  </si>
  <si>
    <t>Cables</t>
  </si>
  <si>
    <t xml:space="preserve"> Nautical Miles</t>
  </si>
  <si>
    <t>Nm</t>
  </si>
  <si>
    <t>cb</t>
  </si>
  <si>
    <t>pl/rd</t>
  </si>
  <si>
    <t>British Imperial units</t>
  </si>
  <si>
    <t>Volume</t>
  </si>
  <si>
    <t>Volume in Litres</t>
  </si>
  <si>
    <t>L</t>
  </si>
  <si>
    <t xml:space="preserve">  Pints</t>
  </si>
  <si>
    <t>pt</t>
  </si>
  <si>
    <t xml:space="preserve">  Quarts</t>
  </si>
  <si>
    <t>Fluid Ounces</t>
  </si>
  <si>
    <t xml:space="preserve"> Gills</t>
  </si>
  <si>
    <t xml:space="preserve">  Gallons</t>
  </si>
  <si>
    <t xml:space="preserve">Dry units </t>
  </si>
  <si>
    <t xml:space="preserve">  Bushels</t>
  </si>
  <si>
    <t xml:space="preserve">  Pecks</t>
  </si>
  <si>
    <t>Pins</t>
  </si>
  <si>
    <t>Firkins</t>
  </si>
  <si>
    <t>Kilderkins</t>
  </si>
  <si>
    <t>Barrels</t>
  </si>
  <si>
    <t>Hogsheads</t>
  </si>
  <si>
    <t>Puncheons</t>
  </si>
  <si>
    <t>Butts</t>
  </si>
  <si>
    <t>Tuns</t>
  </si>
  <si>
    <t>gal</t>
  </si>
  <si>
    <t>qt</t>
  </si>
  <si>
    <t>gi</t>
  </si>
  <si>
    <t>fl.oz</t>
  </si>
  <si>
    <t>Casks units</t>
  </si>
  <si>
    <t>bsh</t>
  </si>
  <si>
    <t>pek</t>
  </si>
  <si>
    <t xml:space="preserve">             Note: 0.001 = One millilitres</t>
  </si>
  <si>
    <t xml:space="preserve">  Loads</t>
  </si>
  <si>
    <t>Sacks / Bags</t>
  </si>
  <si>
    <t>sk / bg</t>
  </si>
  <si>
    <t>lod</t>
  </si>
  <si>
    <t>rd</t>
  </si>
  <si>
    <t>pch</t>
  </si>
  <si>
    <t>Cubic units</t>
  </si>
  <si>
    <t>Cubic Feet</t>
  </si>
  <si>
    <t>Cubic Yards</t>
  </si>
  <si>
    <t>in³</t>
  </si>
  <si>
    <t>ft³</t>
  </si>
  <si>
    <t>yd³</t>
  </si>
  <si>
    <t>Cubic Inches</t>
  </si>
  <si>
    <t>Pressure</t>
  </si>
  <si>
    <t>psi</t>
  </si>
  <si>
    <t>at</t>
  </si>
  <si>
    <t>bar</t>
  </si>
  <si>
    <t>inHg</t>
  </si>
  <si>
    <t>psf</t>
  </si>
  <si>
    <t>Inches of Mercury</t>
  </si>
  <si>
    <t>Pounds per Square Inch</t>
  </si>
  <si>
    <t>mbar</t>
  </si>
  <si>
    <t>Pounds per Square Foot</t>
  </si>
  <si>
    <t>Bars</t>
  </si>
  <si>
    <t>Millibars</t>
  </si>
  <si>
    <t>Atmospheres</t>
  </si>
  <si>
    <t>1 millibar = 100 pascal</t>
  </si>
  <si>
    <t>1 bar = 1 000 millibar</t>
  </si>
  <si>
    <t>Speed</t>
  </si>
  <si>
    <t>mph</t>
  </si>
  <si>
    <t>kph</t>
  </si>
  <si>
    <t>kt</t>
  </si>
  <si>
    <t>Lengths and Sizes Under One Inch</t>
  </si>
  <si>
    <t>Converts Miles, Furlongs, Yards, Feet, Inches, Leagues, Chains, Poles/Rods, Links, Hands, Nautical Miles, Cables and Fathoms to Kilometres and Metres.</t>
  </si>
  <si>
    <t>All entered data in a section will be added together</t>
  </si>
  <si>
    <t>Numbers</t>
  </si>
  <si>
    <t>Small Gross</t>
  </si>
  <si>
    <t>Long Dozen</t>
  </si>
  <si>
    <t xml:space="preserve">   Gross</t>
  </si>
  <si>
    <t xml:space="preserve">   Dozen</t>
  </si>
  <si>
    <t xml:space="preserve">   Couple</t>
  </si>
  <si>
    <t>Units of paper</t>
  </si>
  <si>
    <t>Fractions</t>
  </si>
  <si>
    <t>Great Gross</t>
  </si>
  <si>
    <t>Lengths and sizes under one inch in fractions of an inch, Thousandths of an inch, Standard Wire Gauge and Number and Letter Drill sizes are converted to Millimetres</t>
  </si>
  <si>
    <t>A fraction is usually written as a pair of numbers, the top number called the numerator and the bottom number called the denominator. A line usually separates the numerator and denominator. If the line is slanting it is called a solidus or forward slash, for example ¾. If the line is horizontal, it is called a vinculum or, informally, a "fraction bar”.</t>
  </si>
  <si>
    <t>Torque</t>
  </si>
  <si>
    <t>ft-lb</t>
  </si>
  <si>
    <t>Pound-Feet</t>
  </si>
  <si>
    <t>Newton Metres</t>
  </si>
  <si>
    <t xml:space="preserve">Miles per Hour </t>
  </si>
  <si>
    <t>Knots</t>
  </si>
  <si>
    <t xml:space="preserve"> Kilometers per Hour</t>
  </si>
  <si>
    <t xml:space="preserve"> Kilometerd per Hour</t>
  </si>
  <si>
    <t xml:space="preserve">Miled per Hour </t>
  </si>
  <si>
    <t xml:space="preserve">  Bales</t>
  </si>
  <si>
    <t xml:space="preserve">  Bundles</t>
  </si>
  <si>
    <t xml:space="preserve">  Reams</t>
  </si>
  <si>
    <t xml:space="preserve">  Quires</t>
  </si>
  <si>
    <t>Converts Miles per Hour to Knots and Kilometers per Hours or Knots to Miles per Hour and Kilometers per Hour</t>
  </si>
  <si>
    <t>Converts Inches of Mercury, Pounds per Square Foot and Pounds per Square Inch to Millibars and Bars</t>
  </si>
  <si>
    <t>Converts Pound-Feet to Newton Metres</t>
  </si>
  <si>
    <t>Converting to British Imperial units</t>
  </si>
  <si>
    <t xml:space="preserve">         Kilometres</t>
  </si>
  <si>
    <t xml:space="preserve">         Metres</t>
  </si>
  <si>
    <t>thou</t>
  </si>
  <si>
    <t xml:space="preserve">         Millimetres</t>
  </si>
  <si>
    <t xml:space="preserve">   Hectares</t>
  </si>
  <si>
    <t xml:space="preserve">  Sq Yards</t>
  </si>
  <si>
    <t xml:space="preserve">  Sq Feet</t>
  </si>
  <si>
    <t xml:space="preserve">   Square Metres</t>
  </si>
  <si>
    <t xml:space="preserve">   Kilograms</t>
  </si>
  <si>
    <t xml:space="preserve">   Tons        Hundredweights</t>
  </si>
  <si>
    <t xml:space="preserve">   Grams</t>
  </si>
  <si>
    <t>g</t>
  </si>
  <si>
    <t xml:space="preserve">   Litres</t>
  </si>
  <si>
    <t xml:space="preserve">   Kilometers per Hour</t>
  </si>
  <si>
    <t xml:space="preserve">   Miles per Hour </t>
  </si>
  <si>
    <t xml:space="preserve">   Knots</t>
  </si>
  <si>
    <t xml:space="preserve">   Millibars</t>
  </si>
  <si>
    <t xml:space="preserve">   Inches of Mercury</t>
  </si>
  <si>
    <t xml:space="preserve">   Pounds per Square Inch</t>
  </si>
  <si>
    <t xml:space="preserve">   Bars</t>
  </si>
  <si>
    <t xml:space="preserve">   Newton Metres</t>
  </si>
  <si>
    <t xml:space="preserve">   Pound-Feet</t>
  </si>
  <si>
    <t xml:space="preserve">   Centigrade / Celsius</t>
  </si>
  <si>
    <t xml:space="preserve">   Fahrenheit</t>
  </si>
  <si>
    <t>Here are some useful worksheets to help historians with British Imperial units,</t>
  </si>
  <si>
    <t>Converts to and from British Imperial units</t>
  </si>
  <si>
    <t>Or</t>
  </si>
  <si>
    <t>If less then 10,000</t>
  </si>
  <si>
    <t xml:space="preserve">   Tons </t>
  </si>
  <si>
    <t xml:space="preserve">  Pints - If less then 10,000</t>
  </si>
  <si>
    <t xml:space="preserve">   Cables</t>
  </si>
  <si>
    <t xml:space="preserve">  Fathoms</t>
  </si>
  <si>
    <t>Hide</t>
  </si>
  <si>
    <t>hide</t>
  </si>
  <si>
    <t>sq-ml</t>
  </si>
  <si>
    <t>Area in Square Kilometres</t>
  </si>
  <si>
    <t>km²</t>
  </si>
  <si>
    <t>Square Miles</t>
  </si>
  <si>
    <t>Converts Square Miles, Hide, Acres, Roods, Perches, Square Yards and Square Feet to Square Metres, Hectares and Square Kilometres</t>
  </si>
  <si>
    <t xml:space="preserve">   Square Kilometres</t>
  </si>
  <si>
    <t xml:space="preserve">   Sq Mile</t>
  </si>
  <si>
    <t>In Roman Numerals</t>
  </si>
  <si>
    <t xml:space="preserve">  Shapes to Area and Volume</t>
  </si>
  <si>
    <t xml:space="preserve">  Circle</t>
  </si>
  <si>
    <t>Circumscribing:</t>
  </si>
  <si>
    <t>Area:</t>
  </si>
  <si>
    <t>²</t>
  </si>
  <si>
    <t>Volume:</t>
  </si>
  <si>
    <t>³</t>
  </si>
  <si>
    <t>Radius:</t>
  </si>
  <si>
    <t>Length:</t>
  </si>
  <si>
    <t>Diameter:</t>
  </si>
  <si>
    <t xml:space="preserve">  Square</t>
  </si>
  <si>
    <t>Across Corners:</t>
  </si>
  <si>
    <t>Size:</t>
  </si>
  <si>
    <t>On Face</t>
  </si>
  <si>
    <t xml:space="preserve">    Right Angle Triangle</t>
  </si>
  <si>
    <t>Degrees</t>
  </si>
  <si>
    <t>Triangular Bar / Block</t>
  </si>
  <si>
    <t>Hypotenuse:</t>
  </si>
  <si>
    <t>Hypotenuse</t>
  </si>
  <si>
    <t>Opposite</t>
  </si>
  <si>
    <t>Adjacent</t>
  </si>
  <si>
    <t xml:space="preserve">    Equilateral Triangle</t>
  </si>
  <si>
    <t>All three sides are equal and    all angles are 60 degrees.</t>
  </si>
  <si>
    <t xml:space="preserve">    Hexagon</t>
  </si>
  <si>
    <t xml:space="preserve">    Hexagon Bar / Block</t>
  </si>
  <si>
    <t>All angles are 120 degrees.</t>
  </si>
  <si>
    <t>Across Flats</t>
  </si>
  <si>
    <t>Shapes to Area and Volume</t>
  </si>
  <si>
    <t>Enter data in white space, outputs in green spaces and results are on yellow spaces</t>
  </si>
  <si>
    <t xml:space="preserve">  As a Fraction</t>
  </si>
  <si>
    <t xml:space="preserve">  Thousandths of an inch</t>
  </si>
  <si>
    <t xml:space="preserve">  As a Percentage</t>
  </si>
  <si>
    <t>or</t>
  </si>
  <si>
    <t>I</t>
  </si>
  <si>
    <t>Decimals to Fractions</t>
  </si>
  <si>
    <t>Decimal</t>
  </si>
  <si>
    <t>Fraction to 1 place</t>
  </si>
  <si>
    <t>Fraction to 3 places</t>
  </si>
  <si>
    <t>Fraction to 2 places</t>
  </si>
  <si>
    <t>Unit</t>
  </si>
  <si>
    <t xml:space="preserve">    Time Calculator</t>
  </si>
  <si>
    <t>Time Calculator</t>
  </si>
  <si>
    <t>-</t>
  </si>
  <si>
    <t xml:space="preserve">   Years</t>
  </si>
  <si>
    <t xml:space="preserve"> Months</t>
  </si>
  <si>
    <t xml:space="preserve">  Weeks</t>
  </si>
  <si>
    <t xml:space="preserve">  Days</t>
  </si>
  <si>
    <t xml:space="preserve"> Hours</t>
  </si>
  <si>
    <t xml:space="preserve"> Minutes</t>
  </si>
  <si>
    <t xml:space="preserve"> Seconds</t>
  </si>
  <si>
    <t>+</t>
  </si>
  <si>
    <t>Notes</t>
  </si>
  <si>
    <t>1 Year = 365.243 Days</t>
  </si>
  <si>
    <t>1 Month = 4 Weeks, 2 Days, 10 Hours, 29 Minutes and 10 Seconds</t>
  </si>
  <si>
    <t>1 Month = 30.43692 Days</t>
  </si>
  <si>
    <t>In Seconds</t>
  </si>
  <si>
    <t>Here is a useful worksheet to help in Calculating Time. You can Add and Subtract Years, Months, Weeks, Days, Hours, Minutes, Seconds</t>
  </si>
  <si>
    <t xml:space="preserve">    Sphere</t>
  </si>
  <si>
    <t xml:space="preserve"> Bar / Cylinder</t>
  </si>
  <si>
    <t>Bar / Block</t>
  </si>
  <si>
    <t xml:space="preserve">  Rectangle </t>
  </si>
  <si>
    <t>:Length</t>
  </si>
  <si>
    <t>All sides of Cube - Area:</t>
  </si>
  <si>
    <t>Volume of Cube:</t>
  </si>
  <si>
    <t>Across Corners (diagonal):</t>
  </si>
  <si>
    <t xml:space="preserve">   Cube</t>
  </si>
  <si>
    <t>Cone</t>
  </si>
  <si>
    <t>Surface area of a Cone:</t>
  </si>
  <si>
    <t>Volume of a Cone:</t>
  </si>
  <si>
    <t>Volume of a Sphere:</t>
  </si>
  <si>
    <t>Surface area of a Sphere:</t>
  </si>
  <si>
    <t>Base Diameter:</t>
  </si>
  <si>
    <t>Will give the Area and Volume of Circle/Cylinder/Sphere/Cone, Square/Cube, Rectangle/Block, Triangle Right Angle and Equilateral and Hexagon</t>
  </si>
  <si>
    <t>cm</t>
  </si>
  <si>
    <t xml:space="preserve">         Centimeters</t>
  </si>
  <si>
    <t xml:space="preserve">  Sq Feet - If less then 10,000</t>
  </si>
  <si>
    <t xml:space="preserve">      Pounds - If less then 10,000</t>
  </si>
  <si>
    <t>From British Imperial units</t>
  </si>
  <si>
    <r>
      <t xml:space="preserve">Converting to British Imperial units </t>
    </r>
    <r>
      <rPr>
        <sz val="8"/>
        <rFont val="Arial"/>
        <family val="2"/>
      </rPr>
      <t>Converts from Metric units to British Imperial units</t>
    </r>
  </si>
  <si>
    <t>Paper Sizes</t>
  </si>
  <si>
    <t>International ISO standard</t>
  </si>
  <si>
    <t xml:space="preserve">Area  </t>
  </si>
  <si>
    <t>mm²</t>
  </si>
  <si>
    <t>In Inches as a Fraction</t>
  </si>
  <si>
    <t>in²</t>
  </si>
  <si>
    <t>Paper Size Tolerances</t>
  </si>
  <si>
    <t>±1.5 mm (1/16") for dimensions up to 150 mm (6")</t>
  </si>
  <si>
    <t>±2 mm (3/32") for lengths in the range 150 to 600 mm (6" to 24" (2 ft))</t>
  </si>
  <si>
    <t>±3 mm (1/8") for any dimension above 600 mm (24" (2 ft))</t>
  </si>
  <si>
    <t xml:space="preserve">Give sizes in Millimetres and inches of International ISO standard, Letter, Legal and Foolscap Paper Sizes </t>
  </si>
  <si>
    <t>To</t>
  </si>
  <si>
    <t>------</t>
  </si>
  <si>
    <t>10,000 Days</t>
  </si>
  <si>
    <t>30,000 Days</t>
  </si>
  <si>
    <t xml:space="preserve">   50,000 Days</t>
  </si>
  <si>
    <t xml:space="preserve">  100,000 Days</t>
  </si>
  <si>
    <t xml:space="preserve">  500,000 Days</t>
  </si>
  <si>
    <t>20,000 Days</t>
  </si>
  <si>
    <t>First Date</t>
  </si>
  <si>
    <t>Days from First Date</t>
  </si>
  <si>
    <t xml:space="preserve"> 1,000 Days</t>
  </si>
  <si>
    <t xml:space="preserve"> 5,000 Days</t>
  </si>
  <si>
    <t xml:space="preserve">    500 Days</t>
  </si>
  <si>
    <t xml:space="preserve">Converts Great Gross, Gross, Small Gross, Long Dozen, Dozen and Couple to Standard Units and Roman Numerals, lists paper units - Bales, Bundles, Reams and Quires, also converts Fractions to Decimal Units and gives Degrees and Time decimals equivalents also gives Dates From / To in days and years </t>
  </si>
  <si>
    <t>Rounded to the nearest 64th of an inch</t>
  </si>
  <si>
    <t>Cubic Meter</t>
  </si>
  <si>
    <t>Cubic Meters</t>
  </si>
  <si>
    <t>m³</t>
  </si>
  <si>
    <t>Converts Gallons, Quarts, Pints, Gills and Fluid Ounces, Dry units - Loads, Sacks or Bags, Bushels and Pecks, Casks units - Tuns, Butts, Puncheons, Hogsheads, Barrels, Kilderkins, Firkins and Pins, Cubic units - Cubic Yards, Cubic Feet and Cubic Inches to volume in Litres and Cubic Meters</t>
  </si>
  <si>
    <t>Time</t>
  </si>
  <si>
    <t>Degrees and Time</t>
  </si>
  <si>
    <t>Enter degrees and minutes or time as hours, minutes and seconds to get the decimals equivalent or in reverse</t>
  </si>
  <si>
    <t>Enter Date</t>
  </si>
  <si>
    <t>Now</t>
  </si>
  <si>
    <r>
      <t>Dates - From / To</t>
    </r>
    <r>
      <rPr>
        <sz val="12"/>
        <color indexed="18"/>
        <rFont val="Arial"/>
        <family val="2"/>
      </rPr>
      <t xml:space="preserve">      </t>
    </r>
    <r>
      <rPr>
        <sz val="10"/>
        <rFont val="Arial"/>
        <family val="2"/>
      </rPr>
      <t>Enter Dates as DD/MM/YYYY - 1901 to a Date or Now</t>
    </r>
  </si>
  <si>
    <t>A</t>
  </si>
  <si>
    <t>C</t>
  </si>
  <si>
    <t>B</t>
  </si>
  <si>
    <t>D</t>
  </si>
  <si>
    <t>E</t>
  </si>
  <si>
    <t>F</t>
  </si>
  <si>
    <t>G</t>
  </si>
  <si>
    <t>H</t>
  </si>
  <si>
    <t>J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</si>
  <si>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</si>
  <si>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</si>
  <si>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</si>
  <si>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</si>
  <si>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</si>
  <si>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</si>
  <si>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</si>
  <si>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</si>
  <si>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</si>
  <si>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</si>
  <si>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</si>
  <si>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</si>
  <si>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</si>
  <si>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</si>
  <si>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Add</t>
  </si>
  <si>
    <t>Subtract</t>
  </si>
  <si>
    <t>ISO Standard</t>
  </si>
  <si>
    <t>Letter</t>
  </si>
  <si>
    <t>Legal</t>
  </si>
  <si>
    <t>Foolscap</t>
  </si>
  <si>
    <t>2A0</t>
  </si>
  <si>
    <t>4A0</t>
  </si>
  <si>
    <t>Radius</t>
  </si>
  <si>
    <t>Diameter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</si>
</sst>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);[Red]\(0.00\)"/>
    <numFmt numFmtId="177" formatCode="\£0.00_)"/>
    <numFmt numFmtId="178" formatCode="0.0000"/>
    <numFmt numFmtId="179" formatCode="&quot;£&quot;#,##0.00"/>
    <numFmt numFmtId="180" formatCode="&quot;£&quot;#,##0"/>
    <numFmt numFmtId="181" formatCode="0.000"/>
    <numFmt numFmtId="182" formatCode="#,##0.000"/>
    <numFmt numFmtId="183" formatCode="0.0"/>
    <numFmt numFmtId="184" formatCode="#\ ???/???"/>
    <numFmt numFmtId="185" formatCode="0.000%"/>
    <numFmt numFmtId="186" formatCode="0.0%"/>
    <numFmt numFmtId="187" formatCode="#\ ?/10"/>
    <numFmt numFmtId="188" formatCode="#\ ?/2"/>
    <numFmt numFmtId="189" formatCode="0.000000"/>
    <numFmt numFmtId="190" formatCode="#\ ?/8"/>
    <numFmt numFmtId="191" formatCode="#\ ??/16"/>
    <numFmt numFmtId="192" formatCode="d\-mmm\-yy"/>
    <numFmt numFmtId="193" formatCode="mmmm\ d\,\ yyyy"/>
    <numFmt numFmtId="194" formatCode="m/d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12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0"/>
      <name val="Tahoma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b/>
      <sz val="20"/>
      <color indexed="17"/>
      <name val="Arial"/>
      <family val="2"/>
    </font>
    <font>
      <sz val="12"/>
      <color indexed="10"/>
      <name val="Arial"/>
      <family val="2"/>
    </font>
    <font>
      <b/>
      <sz val="14"/>
      <color indexed="18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sz val="11"/>
      <color indexed="18"/>
      <name val="Arial"/>
      <family val="2"/>
    </font>
    <font>
      <b/>
      <sz val="16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61"/>
      <name val="Arial"/>
      <family val="2"/>
    </font>
    <font>
      <b/>
      <sz val="14"/>
      <color indexed="6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i/>
      <sz val="8"/>
      <name val="Arial"/>
      <family val="2"/>
    </font>
    <font>
      <b/>
      <sz val="12"/>
      <color indexed="17"/>
      <name val="Arial"/>
      <family val="2"/>
    </font>
    <font>
      <b/>
      <sz val="18"/>
      <color indexed="17"/>
      <name val="Arial"/>
      <family val="2"/>
    </font>
    <font>
      <b/>
      <sz val="16"/>
      <color indexed="61"/>
      <name val="Arial"/>
      <family val="2"/>
    </font>
    <font>
      <b/>
      <sz val="12"/>
      <color indexed="56"/>
      <name val="Arial"/>
      <family val="2"/>
    </font>
    <font>
      <b/>
      <sz val="12"/>
      <color indexed="42"/>
      <name val="Arial"/>
      <family val="2"/>
    </font>
    <font>
      <b/>
      <sz val="11"/>
      <color indexed="61"/>
      <name val="Arial"/>
      <family val="2"/>
    </font>
    <font>
      <b/>
      <sz val="10"/>
      <color indexed="22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2"/>
      <color indexed="22"/>
      <name val="Arial"/>
      <family val="2"/>
    </font>
    <font>
      <sz val="12"/>
      <color indexed="18"/>
      <name val="Arial"/>
      <family val="2"/>
    </font>
    <font>
      <sz val="8"/>
      <color indexed="9"/>
      <name val="Arial"/>
      <family val="0"/>
    </font>
    <font>
      <b/>
      <sz val="11"/>
      <name val="Arial"/>
      <family val="2"/>
    </font>
    <font>
      <sz val="8"/>
      <color indexed="10"/>
      <name val="Times New Roman"/>
      <family val="1"/>
    </font>
    <font>
      <b/>
      <sz val="12"/>
      <color indexed="22"/>
      <name val="Arial"/>
      <family val="2"/>
    </font>
    <font>
      <sz val="10"/>
      <color indexed="4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medium">
        <color indexed="10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81" fontId="12" fillId="0" borderId="0" xfId="0" applyNumberFormat="1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2" fontId="18" fillId="2" borderId="0" xfId="0" applyNumberFormat="1" applyFont="1" applyFill="1" applyBorder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12" fillId="0" borderId="0" xfId="0" applyNumberFormat="1" applyFont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1" fontId="0" fillId="3" borderId="12" xfId="0" applyNumberFormat="1" applyFont="1" applyFill="1" applyBorder="1" applyAlignment="1" applyProtection="1">
      <alignment horizontal="center" vertical="center"/>
      <protection hidden="1"/>
    </xf>
    <xf numFmtId="1" fontId="0" fillId="3" borderId="13" xfId="0" applyNumberFormat="1" applyFont="1" applyFill="1" applyBorder="1" applyAlignment="1" applyProtection="1">
      <alignment horizontal="center" vertical="center"/>
      <protection hidden="1"/>
    </xf>
    <xf numFmtId="1" fontId="0" fillId="3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181" fontId="8" fillId="2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181" fontId="0" fillId="2" borderId="0" xfId="0" applyNumberFormat="1" applyFont="1" applyFill="1" applyBorder="1" applyAlignment="1" applyProtection="1">
      <alignment horizontal="left" vertical="center"/>
      <protection hidden="1"/>
    </xf>
    <xf numFmtId="18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2" fontId="0" fillId="3" borderId="0" xfId="0" applyNumberFormat="1" applyFont="1" applyFill="1" applyBorder="1" applyAlignment="1" applyProtection="1">
      <alignment horizontal="center" vertical="center"/>
      <protection hidden="1"/>
    </xf>
    <xf numFmtId="2" fontId="1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NumberForma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" fontId="0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1" fontId="1" fillId="2" borderId="0" xfId="0" applyNumberFormat="1" applyFont="1" applyFill="1" applyBorder="1" applyAlignment="1" applyProtection="1">
      <alignment horizontal="right"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left" vertical="top" wrapText="1" indent="1"/>
      <protection hidden="1"/>
    </xf>
    <xf numFmtId="0" fontId="0" fillId="2" borderId="0" xfId="0" applyFont="1" applyFill="1" applyAlignment="1" applyProtection="1">
      <alignment horizontal="left" vertical="center" indent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1" fontId="1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1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1" fontId="8" fillId="4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5" borderId="2" xfId="0" applyFill="1" applyBorder="1" applyAlignment="1" applyProtection="1">
      <alignment vertical="center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1" fontId="8" fillId="4" borderId="13" xfId="0" applyNumberFormat="1" applyFont="1" applyFill="1" applyBorder="1" applyAlignment="1" applyProtection="1">
      <alignment horizontal="center" vertical="center"/>
      <protection hidden="1"/>
    </xf>
    <xf numFmtId="181" fontId="8" fillId="4" borderId="14" xfId="0" applyNumberFormat="1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1" fontId="8" fillId="4" borderId="12" xfId="0" applyNumberFormat="1" applyFont="1" applyFill="1" applyBorder="1" applyAlignment="1" applyProtection="1">
      <alignment horizontal="center" vertical="center"/>
      <protection hidden="1"/>
    </xf>
    <xf numFmtId="1" fontId="8" fillId="4" borderId="13" xfId="0" applyNumberFormat="1" applyFont="1" applyFill="1" applyBorder="1" applyAlignment="1" applyProtection="1">
      <alignment horizontal="center"/>
      <protection hidden="1"/>
    </xf>
    <xf numFmtId="1" fontId="8" fillId="4" borderId="14" xfId="0" applyNumberFormat="1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1" fontId="8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2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181" fontId="8" fillId="3" borderId="0" xfId="0" applyNumberFormat="1" applyFont="1" applyFill="1" applyBorder="1" applyAlignment="1" applyProtection="1">
      <alignment horizontal="center" vertical="center"/>
      <protection hidden="1"/>
    </xf>
    <xf numFmtId="1" fontId="8" fillId="2" borderId="12" xfId="0" applyNumberFormat="1" applyFont="1" applyFill="1" applyBorder="1" applyAlignment="1" applyProtection="1">
      <alignment horizontal="center" vertical="center"/>
      <protection hidden="1"/>
    </xf>
    <xf numFmtId="1" fontId="8" fillId="2" borderId="13" xfId="0" applyNumberFormat="1" applyFont="1" applyFill="1" applyBorder="1" applyAlignment="1" applyProtection="1">
      <alignment horizontal="center" vertical="center"/>
      <protection hidden="1"/>
    </xf>
    <xf numFmtId="1" fontId="8" fillId="2" borderId="13" xfId="0" applyNumberFormat="1" applyFont="1" applyFill="1" applyBorder="1" applyAlignment="1" applyProtection="1">
      <alignment horizontal="center"/>
      <protection hidden="1"/>
    </xf>
    <xf numFmtId="1" fontId="8" fillId="2" borderId="14" xfId="0" applyNumberFormat="1" applyFont="1" applyFill="1" applyBorder="1" applyAlignment="1" applyProtection="1">
      <alignment horizontal="center"/>
      <protection hidden="1"/>
    </xf>
    <xf numFmtId="1" fontId="8" fillId="2" borderId="14" xfId="0" applyNumberFormat="1" applyFont="1" applyFill="1" applyBorder="1" applyAlignment="1" applyProtection="1">
      <alignment horizontal="center" vertical="center"/>
      <protection hidden="1"/>
    </xf>
    <xf numFmtId="2" fontId="8" fillId="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2" fontId="8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1" fontId="0" fillId="3" borderId="13" xfId="0" applyNumberFormat="1" applyFill="1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11" fillId="3" borderId="2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2" fontId="8" fillId="4" borderId="18" xfId="0" applyNumberFormat="1" applyFont="1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/>
      <protection hidden="1"/>
    </xf>
    <xf numFmtId="2" fontId="8" fillId="6" borderId="18" xfId="0" applyNumberFormat="1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6" fillId="3" borderId="8" xfId="0" applyFont="1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/>
      <protection hidden="1"/>
    </xf>
    <xf numFmtId="0" fontId="31" fillId="3" borderId="0" xfId="0" applyFont="1" applyFill="1" applyBorder="1" applyAlignment="1" applyProtection="1">
      <alignment horizontal="right" vertical="top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183" fontId="8" fillId="4" borderId="18" xfId="0" applyNumberFormat="1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183" fontId="8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184" fontId="1" fillId="3" borderId="0" xfId="0" applyNumberFormat="1" applyFont="1" applyFill="1" applyBorder="1" applyAlignment="1" applyProtection="1">
      <alignment horizontal="left" vertical="center" indent="1"/>
      <protection hidden="1"/>
    </xf>
    <xf numFmtId="186" fontId="1" fillId="3" borderId="0" xfId="0" applyNumberFormat="1" applyFont="1" applyFill="1" applyBorder="1" applyAlignment="1" applyProtection="1">
      <alignment horizontal="center" vertical="center"/>
      <protection hidden="1"/>
    </xf>
    <xf numFmtId="1" fontId="1" fillId="3" borderId="0" xfId="0" applyNumberFormat="1" applyFont="1" applyFill="1" applyAlignment="1" applyProtection="1">
      <alignment horizontal="center" vertical="center"/>
      <protection hidden="1"/>
    </xf>
    <xf numFmtId="2" fontId="8" fillId="2" borderId="13" xfId="0" applyNumberFormat="1" applyFont="1" applyFill="1" applyBorder="1" applyAlignment="1" applyProtection="1">
      <alignment horizontal="center" vertical="center"/>
      <protection hidden="1"/>
    </xf>
    <xf numFmtId="181" fontId="4" fillId="0" borderId="0" xfId="0" applyNumberFormat="1" applyFont="1" applyAlignment="1" applyProtection="1">
      <alignment/>
      <protection hidden="1"/>
    </xf>
    <xf numFmtId="13" fontId="8" fillId="4" borderId="14" xfId="0" applyNumberFormat="1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left" vertical="center"/>
      <protection hidden="1"/>
    </xf>
    <xf numFmtId="12" fontId="8" fillId="4" borderId="0" xfId="0" applyNumberFormat="1" applyFont="1" applyFill="1" applyBorder="1" applyAlignment="1" applyProtection="1">
      <alignment horizontal="center" vertical="center"/>
      <protection hidden="1"/>
    </xf>
    <xf numFmtId="13" fontId="8" fillId="4" borderId="0" xfId="0" applyNumberFormat="1" applyFont="1" applyFill="1" applyBorder="1" applyAlignment="1" applyProtection="1">
      <alignment horizontal="center" vertical="center"/>
      <protection hidden="1"/>
    </xf>
    <xf numFmtId="184" fontId="8" fillId="4" borderId="0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2" fontId="0" fillId="2" borderId="0" xfId="0" applyNumberFormat="1" applyFont="1" applyFill="1" applyBorder="1" applyAlignment="1" applyProtection="1">
      <alignment horizontal="left"/>
      <protection hidden="1"/>
    </xf>
    <xf numFmtId="2" fontId="1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center" wrapText="1"/>
      <protection hidden="1"/>
    </xf>
    <xf numFmtId="2" fontId="0" fillId="0" borderId="0" xfId="0" applyNumberFormat="1" applyFont="1" applyAlignment="1" applyProtection="1">
      <alignment wrapText="1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11" fillId="3" borderId="2" xfId="0" applyFont="1" applyFill="1" applyBorder="1" applyAlignment="1" applyProtection="1">
      <alignment horizontal="left"/>
      <protection hidden="1"/>
    </xf>
    <xf numFmtId="0" fontId="0" fillId="3" borderId="19" xfId="0" applyFill="1" applyBorder="1" applyAlignment="1" applyProtection="1">
      <alignment/>
      <protection hidden="1"/>
    </xf>
    <xf numFmtId="0" fontId="1" fillId="3" borderId="19" xfId="0" applyFont="1" applyFill="1" applyBorder="1" applyAlignment="1" applyProtection="1">
      <alignment horizontal="right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/>
      <protection hidden="1"/>
    </xf>
    <xf numFmtId="2" fontId="8" fillId="3" borderId="0" xfId="0" applyNumberFormat="1" applyFont="1" applyFill="1" applyBorder="1" applyAlignment="1" applyProtection="1">
      <alignment horizontal="center"/>
      <protection hidden="1"/>
    </xf>
    <xf numFmtId="0" fontId="35" fillId="3" borderId="2" xfId="0" applyFont="1" applyFill="1" applyBorder="1" applyAlignment="1" applyProtection="1">
      <alignment horizontal="right"/>
      <protection hidden="1"/>
    </xf>
    <xf numFmtId="2" fontId="36" fillId="3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13" fontId="18" fillId="3" borderId="0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20" applyFont="1" applyFill="1" applyBorder="1" applyAlignment="1" applyProtection="1">
      <alignment horizontal="left" vertical="top" wrapText="1"/>
      <protection hidden="1"/>
    </xf>
    <xf numFmtId="0" fontId="11" fillId="2" borderId="0" xfId="20" applyFont="1" applyFill="1" applyBorder="1" applyAlignment="1" applyProtection="1">
      <alignment horizontal="left"/>
      <protection hidden="1"/>
    </xf>
    <xf numFmtId="0" fontId="32" fillId="2" borderId="0" xfId="0" applyFont="1" applyFill="1" applyBorder="1" applyAlignment="1" applyProtection="1">
      <alignment horizontal="left" vertical="top" wrapText="1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20" applyFill="1" applyBorder="1" applyAlignment="1" applyProtection="1">
      <alignment horizontal="center" vertical="center" wrapText="1"/>
      <protection hidden="1"/>
    </xf>
    <xf numFmtId="0" fontId="2" fillId="2" borderId="3" xfId="20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0" xfId="20" applyFont="1" applyFill="1" applyBorder="1" applyAlignment="1" applyProtection="1">
      <alignment horizontal="center" vertical="center" wrapText="1"/>
      <protection hidden="1"/>
    </xf>
    <xf numFmtId="0" fontId="1" fillId="2" borderId="3" xfId="2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top"/>
      <protection hidden="1"/>
    </xf>
    <xf numFmtId="2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vertical="center"/>
      <protection hidden="1"/>
    </xf>
    <xf numFmtId="2" fontId="1" fillId="7" borderId="22" xfId="0" applyNumberFormat="1" applyFont="1" applyFill="1" applyBorder="1" applyAlignment="1" applyProtection="1">
      <alignment horizontal="center" vertical="center"/>
      <protection hidden="1"/>
    </xf>
    <xf numFmtId="2" fontId="1" fillId="7" borderId="21" xfId="0" applyNumberFormat="1" applyFont="1" applyFill="1" applyBorder="1" applyAlignment="1" applyProtection="1">
      <alignment horizontal="center" vertical="center"/>
      <protection hidden="1"/>
    </xf>
    <xf numFmtId="2" fontId="6" fillId="7" borderId="23" xfId="0" applyNumberFormat="1" applyFont="1" applyFill="1" applyBorder="1" applyAlignment="1" applyProtection="1">
      <alignment horizontal="center" vertical="center"/>
      <protection hidden="1"/>
    </xf>
    <xf numFmtId="0" fontId="1" fillId="7" borderId="24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0" fillId="7" borderId="25" xfId="0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top" wrapText="1"/>
      <protection hidden="1"/>
    </xf>
    <xf numFmtId="0" fontId="39" fillId="7" borderId="24" xfId="0" applyFont="1" applyFill="1" applyBorder="1" applyAlignment="1" applyProtection="1">
      <alignment horizontal="center" vertical="center"/>
      <protection hidden="1"/>
    </xf>
    <xf numFmtId="0" fontId="39" fillId="7" borderId="25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right"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12" fontId="1" fillId="4" borderId="0" xfId="0" applyNumberFormat="1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12" fontId="1" fillId="4" borderId="0" xfId="0" applyNumberFormat="1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0" fillId="2" borderId="0" xfId="0" applyFill="1" applyBorder="1" applyAlignment="1" applyProtection="1">
      <alignment horizontal="left" vertical="top" wrapText="1" indent="2"/>
      <protection hidden="1"/>
    </xf>
    <xf numFmtId="0" fontId="16" fillId="2" borderId="0" xfId="0" applyFont="1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1" fontId="40" fillId="4" borderId="0" xfId="0" applyNumberFormat="1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Border="1" applyAlignment="1" applyProtection="1">
      <alignment horizontal="left"/>
      <protection hidden="1"/>
    </xf>
    <xf numFmtId="0" fontId="41" fillId="2" borderId="0" xfId="0" applyFont="1" applyFill="1" applyBorder="1" applyAlignment="1" applyProtection="1">
      <alignment/>
      <protection hidden="1"/>
    </xf>
    <xf numFmtId="0" fontId="16" fillId="2" borderId="8" xfId="0" applyFont="1" applyFill="1" applyBorder="1" applyAlignment="1" applyProtection="1">
      <alignment/>
      <protection hidden="1"/>
    </xf>
    <xf numFmtId="1" fontId="16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2" fontId="8" fillId="4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2" borderId="0" xfId="0" applyNumberFormat="1" applyFill="1" applyBorder="1" applyAlignment="1" applyProtection="1">
      <alignment horizontal="center"/>
      <protection hidden="1"/>
    </xf>
    <xf numFmtId="3" fontId="8" fillId="4" borderId="0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6" fillId="2" borderId="1" xfId="0" applyFon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 quotePrefix="1">
      <alignment horizontal="center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16" fillId="2" borderId="0" xfId="0" applyNumberFormat="1" applyFont="1" applyFill="1" applyBorder="1" applyAlignment="1" applyProtection="1">
      <alignment/>
      <protection hidden="1"/>
    </xf>
    <xf numFmtId="0" fontId="16" fillId="2" borderId="0" xfId="0" applyNumberFormat="1" applyFont="1" applyFill="1" applyBorder="1" applyAlignment="1" applyProtection="1">
      <alignment horizontal="center"/>
      <protection hidden="1"/>
    </xf>
    <xf numFmtId="193" fontId="16" fillId="2" borderId="0" xfId="0" applyNumberFormat="1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12" fillId="2" borderId="3" xfId="0" applyFont="1" applyFill="1" applyBorder="1" applyAlignment="1" applyProtection="1">
      <alignment/>
      <protection hidden="1"/>
    </xf>
    <xf numFmtId="0" fontId="26" fillId="2" borderId="0" xfId="0" applyFont="1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1" fontId="0" fillId="2" borderId="0" xfId="0" applyNumberFormat="1" applyFont="1" applyFill="1" applyBorder="1" applyAlignment="1" applyProtection="1">
      <alignment horizontal="center" vertical="center"/>
      <protection hidden="1"/>
    </xf>
    <xf numFmtId="1" fontId="18" fillId="8" borderId="26" xfId="0" applyNumberFormat="1" applyFont="1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/>
      <protection hidden="1"/>
    </xf>
    <xf numFmtId="0" fontId="0" fillId="9" borderId="28" xfId="0" applyFill="1" applyBorder="1" applyAlignment="1" applyProtection="1">
      <alignment/>
      <protection hidden="1"/>
    </xf>
    <xf numFmtId="0" fontId="0" fillId="9" borderId="5" xfId="0" applyFill="1" applyBorder="1" applyAlignment="1" applyProtection="1">
      <alignment/>
      <protection hidden="1"/>
    </xf>
    <xf numFmtId="0" fontId="0" fillId="9" borderId="6" xfId="0" applyFill="1" applyBorder="1" applyAlignment="1" applyProtection="1">
      <alignment/>
      <protection hidden="1"/>
    </xf>
    <xf numFmtId="1" fontId="18" fillId="3" borderId="0" xfId="0" applyNumberFormat="1" applyFont="1" applyFill="1" applyBorder="1" applyAlignment="1" applyProtection="1">
      <alignment horizontal="center"/>
      <protection hidden="1"/>
    </xf>
    <xf numFmtId="1" fontId="18" fillId="4" borderId="12" xfId="0" applyNumberFormat="1" applyFont="1" applyFill="1" applyBorder="1" applyAlignment="1" applyProtection="1">
      <alignment horizontal="center" vertical="center"/>
      <protection hidden="1"/>
    </xf>
    <xf numFmtId="1" fontId="18" fillId="4" borderId="13" xfId="0" applyNumberFormat="1" applyFont="1" applyFill="1" applyBorder="1" applyAlignment="1" applyProtection="1">
      <alignment horizontal="center" vertical="center"/>
      <protection hidden="1"/>
    </xf>
    <xf numFmtId="1" fontId="18" fillId="4" borderId="14" xfId="0" applyNumberFormat="1" applyFont="1" applyFill="1" applyBorder="1" applyAlignment="1" applyProtection="1">
      <alignment horizontal="center" vertical="center"/>
      <protection hidden="1"/>
    </xf>
    <xf numFmtId="1" fontId="18" fillId="8" borderId="29" xfId="0" applyNumberFormat="1" applyFont="1" applyFill="1" applyBorder="1" applyAlignment="1" applyProtection="1">
      <alignment horizontal="center" vertical="center"/>
      <protection locked="0"/>
    </xf>
    <xf numFmtId="0" fontId="18" fillId="8" borderId="30" xfId="0" applyFont="1" applyFill="1" applyBorder="1" applyAlignment="1" applyProtection="1">
      <alignment horizontal="center" vertical="center"/>
      <protection locked="0"/>
    </xf>
    <xf numFmtId="0" fontId="18" fillId="8" borderId="29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/>
      <protection locked="0"/>
    </xf>
    <xf numFmtId="0" fontId="44" fillId="8" borderId="30" xfId="0" applyFont="1" applyFill="1" applyBorder="1" applyAlignment="1" applyProtection="1">
      <alignment horizontal="center"/>
      <protection locked="0"/>
    </xf>
    <xf numFmtId="0" fontId="44" fillId="8" borderId="26" xfId="0" applyFont="1" applyFill="1" applyBorder="1" applyAlignment="1" applyProtection="1">
      <alignment horizontal="center"/>
      <protection locked="0"/>
    </xf>
    <xf numFmtId="0" fontId="44" fillId="8" borderId="29" xfId="0" applyFont="1" applyFill="1" applyBorder="1" applyAlignment="1" applyProtection="1">
      <alignment horizontal="center"/>
      <protection locked="0"/>
    </xf>
    <xf numFmtId="0" fontId="1" fillId="8" borderId="18" xfId="0" applyFont="1" applyFill="1" applyBorder="1" applyAlignment="1" applyProtection="1">
      <alignment horizontal="center" vertical="top"/>
      <protection hidden="1"/>
    </xf>
    <xf numFmtId="0" fontId="38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18" fillId="8" borderId="31" xfId="0" applyFont="1" applyFill="1" applyBorder="1" applyAlignment="1" applyProtection="1">
      <alignment horizontal="center" vertical="center"/>
      <protection locked="0"/>
    </xf>
    <xf numFmtId="0" fontId="18" fillId="8" borderId="26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vertical="center"/>
      <protection hidden="1"/>
    </xf>
    <xf numFmtId="2" fontId="29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hidden="1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/>
      <protection locked="0"/>
    </xf>
    <xf numFmtId="0" fontId="1" fillId="8" borderId="18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38" fillId="2" borderId="0" xfId="0" applyFont="1" applyFill="1" applyBorder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left" vertical="center"/>
      <protection hidden="1"/>
    </xf>
    <xf numFmtId="2" fontId="38" fillId="2" borderId="0" xfId="0" applyNumberFormat="1" applyFont="1" applyFill="1" applyBorder="1" applyAlignment="1" applyProtection="1">
      <alignment horizontal="center" vertical="center"/>
      <protection hidden="1"/>
    </xf>
    <xf numFmtId="2" fontId="46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47" fillId="3" borderId="24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38" fillId="2" borderId="0" xfId="2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23" fillId="0" borderId="0" xfId="21" applyFont="1" applyProtection="1">
      <alignment/>
      <protection hidden="1"/>
    </xf>
    <xf numFmtId="1" fontId="18" fillId="8" borderId="18" xfId="0" applyNumberFormat="1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/>
      <protection hidden="1"/>
    </xf>
    <xf numFmtId="193" fontId="1" fillId="8" borderId="32" xfId="0" applyNumberFormat="1" applyFont="1" applyFill="1" applyBorder="1" applyAlignment="1" applyProtection="1">
      <alignment horizontal="center" vertical="center" shrinkToFit="1"/>
      <protection locked="0"/>
    </xf>
    <xf numFmtId="193" fontId="1" fillId="8" borderId="33" xfId="0" applyNumberFormat="1" applyFont="1" applyFill="1" applyBorder="1" applyAlignment="1" applyProtection="1">
      <alignment horizontal="center" vertical="center" shrinkToFit="1"/>
      <protection locked="0"/>
    </xf>
    <xf numFmtId="193" fontId="1" fillId="8" borderId="34" xfId="0" applyNumberFormat="1" applyFont="1" applyFill="1" applyBorder="1" applyAlignment="1" applyProtection="1">
      <alignment horizontal="center" vertical="center" shrinkToFit="1"/>
      <protection locked="0"/>
    </xf>
    <xf numFmtId="193" fontId="1" fillId="2" borderId="35" xfId="0" applyNumberFormat="1" applyFont="1" applyFill="1" applyBorder="1" applyAlignment="1" applyProtection="1">
      <alignment horizontal="center" vertical="center" shrinkToFit="1"/>
      <protection hidden="1"/>
    </xf>
    <xf numFmtId="0" fontId="18" fillId="8" borderId="3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82" fontId="8" fillId="4" borderId="0" xfId="0" applyNumberFormat="1" applyFont="1" applyFill="1" applyBorder="1" applyAlignment="1" applyProtection="1">
      <alignment horizontal="center" vertical="center"/>
      <protection hidden="1"/>
    </xf>
    <xf numFmtId="1" fontId="18" fillId="8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193" fontId="1" fillId="3" borderId="0" xfId="0" applyNumberFormat="1" applyFont="1" applyFill="1" applyBorder="1" applyAlignment="1" applyProtection="1">
      <alignment horizontal="center" shrinkToFit="1"/>
      <protection hidden="1"/>
    </xf>
    <xf numFmtId="0" fontId="26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8" borderId="32" xfId="0" applyFont="1" applyFill="1" applyBorder="1" applyAlignment="1" applyProtection="1">
      <alignment horizontal="center" vertical="center"/>
      <protection hidden="1"/>
    </xf>
    <xf numFmtId="0" fontId="1" fillId="8" borderId="33" xfId="0" applyFont="1" applyFill="1" applyBorder="1" applyAlignment="1" applyProtection="1">
      <alignment horizontal="center" vertical="center"/>
      <protection hidden="1"/>
    </xf>
    <xf numFmtId="21" fontId="8" fillId="4" borderId="12" xfId="0" applyNumberFormat="1" applyFont="1" applyFill="1" applyBorder="1" applyAlignment="1" applyProtection="1">
      <alignment horizontal="center"/>
      <protection hidden="1"/>
    </xf>
    <xf numFmtId="0" fontId="24" fillId="9" borderId="6" xfId="20" applyFont="1" applyFill="1" applyBorder="1" applyAlignment="1" applyProtection="1">
      <alignment horizontal="center" vertical="center" wrapText="1"/>
      <protection hidden="1"/>
    </xf>
    <xf numFmtId="0" fontId="11" fillId="8" borderId="32" xfId="0" applyNumberFormat="1" applyFont="1" applyFill="1" applyBorder="1" applyAlignment="1" applyProtection="1">
      <alignment horizontal="center" vertical="center"/>
      <protection locked="0"/>
    </xf>
    <xf numFmtId="0" fontId="11" fillId="8" borderId="3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textRotation="90" shrinkToFit="1"/>
      <protection hidden="1"/>
    </xf>
    <xf numFmtId="13" fontId="18" fillId="3" borderId="0" xfId="0" applyNumberFormat="1" applyFont="1" applyFill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vertical="center"/>
      <protection hidden="1"/>
    </xf>
    <xf numFmtId="1" fontId="0" fillId="2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1" fontId="18" fillId="8" borderId="30" xfId="0" applyNumberFormat="1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/>
      <protection hidden="1"/>
    </xf>
    <xf numFmtId="0" fontId="9" fillId="9" borderId="36" xfId="20" applyFont="1" applyFill="1" applyBorder="1" applyAlignment="1" applyProtection="1">
      <alignment horizontal="center" vertical="center"/>
      <protection hidden="1"/>
    </xf>
    <xf numFmtId="0" fontId="9" fillId="9" borderId="28" xfId="20" applyFont="1" applyFill="1" applyBorder="1" applyAlignment="1" applyProtection="1">
      <alignment horizontal="center" vertical="center"/>
      <protection hidden="1"/>
    </xf>
    <xf numFmtId="0" fontId="24" fillId="9" borderId="4" xfId="2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 indent="1"/>
      <protection hidden="1"/>
    </xf>
    <xf numFmtId="0" fontId="18" fillId="8" borderId="32" xfId="0" applyFont="1" applyFill="1" applyBorder="1" applyAlignment="1" applyProtection="1">
      <alignment horizontal="center" vertical="center"/>
      <protection locked="0"/>
    </xf>
    <xf numFmtId="0" fontId="18" fillId="8" borderId="33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/>
      <protection locked="0"/>
    </xf>
    <xf numFmtId="0" fontId="18" fillId="0" borderId="33" xfId="0" applyFont="1" applyFill="1" applyBorder="1" applyAlignment="1" applyProtection="1">
      <alignment horizontal="center"/>
      <protection locked="0"/>
    </xf>
    <xf numFmtId="0" fontId="13" fillId="9" borderId="27" xfId="0" applyFont="1" applyFill="1" applyBorder="1" applyAlignment="1" applyProtection="1">
      <alignment horizontal="center" vertical="center"/>
      <protection hidden="1"/>
    </xf>
    <xf numFmtId="0" fontId="13" fillId="9" borderId="36" xfId="0" applyFont="1" applyFill="1" applyBorder="1" applyAlignment="1" applyProtection="1">
      <alignment horizontal="center" vertical="center"/>
      <protection hidden="1"/>
    </xf>
    <xf numFmtId="0" fontId="13" fillId="9" borderId="5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11" fillId="2" borderId="0" xfId="20" applyFont="1" applyFill="1" applyBorder="1" applyAlignment="1" applyProtection="1">
      <alignment horizontal="center" vertical="top" wrapText="1"/>
      <protection hidden="1"/>
    </xf>
    <xf numFmtId="0" fontId="11" fillId="2" borderId="0" xfId="20" applyFont="1" applyFill="1" applyBorder="1" applyAlignment="1" applyProtection="1">
      <alignment horizontal="left"/>
      <protection hidden="1"/>
    </xf>
    <xf numFmtId="0" fontId="11" fillId="2" borderId="3" xfId="2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0" fontId="32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20" applyFont="1" applyFill="1" applyBorder="1" applyAlignment="1" applyProtection="1">
      <alignment horizontal="left" vertical="top" wrapText="1"/>
      <protection hidden="1"/>
    </xf>
    <xf numFmtId="0" fontId="11" fillId="2" borderId="0" xfId="20" applyFont="1" applyFill="1" applyBorder="1" applyAlignment="1" applyProtection="1">
      <alignment horizontal="center"/>
      <protection hidden="1"/>
    </xf>
    <xf numFmtId="0" fontId="33" fillId="9" borderId="4" xfId="0" applyFont="1" applyFill="1" applyBorder="1" applyAlignment="1" applyProtection="1">
      <alignment horizontal="center" vertical="top" wrapText="1"/>
      <protection hidden="1"/>
    </xf>
    <xf numFmtId="0" fontId="0" fillId="2" borderId="0" xfId="0" applyFont="1" applyFill="1" applyBorder="1" applyAlignment="1" applyProtection="1">
      <alignment horizontal="left" vertical="top" wrapText="1"/>
      <protection hidden="1"/>
    </xf>
    <xf numFmtId="0" fontId="9" fillId="9" borderId="36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19" fillId="2" borderId="1" xfId="0" applyFont="1" applyFill="1" applyBorder="1" applyAlignment="1" applyProtection="1">
      <alignment horizontal="center" vertical="top" wrapText="1"/>
      <protection hidden="1"/>
    </xf>
    <xf numFmtId="0" fontId="19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2" xfId="0" applyFont="1" applyFill="1" applyBorder="1" applyAlignment="1" applyProtection="1">
      <alignment horizontal="center" vertical="top" wrapText="1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1" fontId="8" fillId="4" borderId="0" xfId="0" applyNumberFormat="1" applyFont="1" applyFill="1" applyBorder="1" applyAlignment="1" applyProtection="1">
      <alignment horizontal="center" vertical="center"/>
      <protection hidden="1"/>
    </xf>
    <xf numFmtId="2" fontId="8" fillId="4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2" fontId="8" fillId="4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2" fontId="8" fillId="3" borderId="0" xfId="0" applyNumberFormat="1" applyFont="1" applyFill="1" applyBorder="1" applyAlignment="1" applyProtection="1">
      <alignment horizontal="center" vertical="center"/>
      <protection hidden="1"/>
    </xf>
    <xf numFmtId="181" fontId="1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28" fillId="9" borderId="36" xfId="20" applyFont="1" applyFill="1" applyBorder="1" applyAlignment="1" applyProtection="1">
      <alignment horizontal="center" vertical="center"/>
      <protection hidden="1"/>
    </xf>
    <xf numFmtId="0" fontId="28" fillId="9" borderId="28" xfId="20" applyFont="1" applyFill="1" applyBorder="1" applyAlignment="1" applyProtection="1">
      <alignment horizontal="center" vertical="center"/>
      <protection hidden="1"/>
    </xf>
    <xf numFmtId="4" fontId="8" fillId="4" borderId="0" xfId="0" applyNumberFormat="1" applyFont="1" applyFill="1" applyBorder="1" applyAlignment="1" applyProtection="1">
      <alignment horizontal="center" vertical="center"/>
      <protection hidden="1"/>
    </xf>
    <xf numFmtId="181" fontId="8" fillId="4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2" fillId="9" borderId="27" xfId="0" applyFont="1" applyFill="1" applyBorder="1" applyAlignment="1" applyProtection="1">
      <alignment horizontal="center" vertical="center"/>
      <protection hidden="1"/>
    </xf>
    <xf numFmtId="0" fontId="22" fillId="9" borderId="36" xfId="0" applyFont="1" applyFill="1" applyBorder="1" applyAlignment="1" applyProtection="1">
      <alignment horizontal="center" vertical="center"/>
      <protection hidden="1"/>
    </xf>
    <xf numFmtId="0" fontId="22" fillId="9" borderId="5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2" fontId="0" fillId="3" borderId="0" xfId="0" applyNumberFormat="1" applyFont="1" applyFill="1" applyBorder="1" applyAlignment="1" applyProtection="1">
      <alignment horizontal="center" vertical="center"/>
      <protection hidden="1"/>
    </xf>
    <xf numFmtId="181" fontId="8" fillId="2" borderId="0" xfId="0" applyNumberFormat="1" applyFont="1" applyFill="1" applyBorder="1" applyAlignment="1" applyProtection="1">
      <alignment horizontal="center" vertical="center"/>
      <protection hidden="1"/>
    </xf>
    <xf numFmtId="0" fontId="7" fillId="9" borderId="27" xfId="0" applyFont="1" applyFill="1" applyBorder="1" applyAlignment="1" applyProtection="1">
      <alignment horizontal="center" vertical="center"/>
      <protection hidden="1"/>
    </xf>
    <xf numFmtId="0" fontId="7" fillId="9" borderId="36" xfId="0" applyFont="1" applyFill="1" applyBorder="1" applyAlignment="1" applyProtection="1">
      <alignment horizontal="center" vertical="center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7" fillId="9" borderId="4" xfId="0" applyFont="1" applyFill="1" applyBorder="1" applyAlignment="1" applyProtection="1">
      <alignment horizontal="center" vertical="center"/>
      <protection hidden="1"/>
    </xf>
    <xf numFmtId="0" fontId="27" fillId="9" borderId="36" xfId="20" applyFont="1" applyFill="1" applyBorder="1" applyAlignment="1" applyProtection="1">
      <alignment horizontal="center" vertical="center"/>
      <protection hidden="1"/>
    </xf>
    <xf numFmtId="0" fontId="27" fillId="9" borderId="28" xfId="2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24" fillId="9" borderId="4" xfId="20" applyFont="1" applyFill="1" applyBorder="1" applyAlignment="1" applyProtection="1">
      <alignment horizontal="center" vertical="top"/>
      <protection hidden="1"/>
    </xf>
    <xf numFmtId="0" fontId="24" fillId="9" borderId="6" xfId="20" applyFont="1" applyFill="1" applyBorder="1" applyAlignment="1" applyProtection="1">
      <alignment horizontal="center" vertical="top"/>
      <protection hidden="1"/>
    </xf>
    <xf numFmtId="0" fontId="34" fillId="9" borderId="36" xfId="20" applyFont="1" applyFill="1" applyBorder="1" applyAlignment="1" applyProtection="1">
      <alignment horizontal="center" vertical="center"/>
      <protection hidden="1"/>
    </xf>
    <xf numFmtId="0" fontId="34" fillId="9" borderId="28" xfId="20" applyFont="1" applyFill="1" applyBorder="1" applyAlignment="1" applyProtection="1">
      <alignment horizontal="center" vertical="center"/>
      <protection hidden="1"/>
    </xf>
    <xf numFmtId="0" fontId="34" fillId="9" borderId="0" xfId="20" applyFont="1" applyFill="1" applyBorder="1" applyAlignment="1" applyProtection="1">
      <alignment horizontal="center" vertical="center"/>
      <protection hidden="1"/>
    </xf>
    <xf numFmtId="0" fontId="34" fillId="9" borderId="3" xfId="20" applyFont="1" applyFill="1" applyBorder="1" applyAlignment="1" applyProtection="1">
      <alignment horizontal="center" vertical="center"/>
      <protection hidden="1"/>
    </xf>
    <xf numFmtId="0" fontId="20" fillId="3" borderId="21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33" fillId="9" borderId="27" xfId="0" applyFont="1" applyFill="1" applyBorder="1" applyAlignment="1" applyProtection="1">
      <alignment horizontal="left" vertical="center"/>
      <protection hidden="1"/>
    </xf>
    <xf numFmtId="0" fontId="33" fillId="9" borderId="36" xfId="0" applyFont="1" applyFill="1" applyBorder="1" applyAlignment="1" applyProtection="1">
      <alignment horizontal="left" vertical="center"/>
      <protection hidden="1"/>
    </xf>
    <xf numFmtId="0" fontId="33" fillId="9" borderId="2" xfId="0" applyFont="1" applyFill="1" applyBorder="1" applyAlignment="1" applyProtection="1">
      <alignment horizontal="left" vertical="center"/>
      <protection hidden="1"/>
    </xf>
    <xf numFmtId="0" fontId="33" fillId="9" borderId="0" xfId="0" applyFont="1" applyFill="1" applyBorder="1" applyAlignment="1" applyProtection="1">
      <alignment horizontal="left" vertical="center"/>
      <protection hidden="1"/>
    </xf>
    <xf numFmtId="0" fontId="15" fillId="9" borderId="5" xfId="0" applyFont="1" applyFill="1" applyBorder="1" applyAlignment="1" applyProtection="1">
      <alignment horizontal="center"/>
      <protection hidden="1"/>
    </xf>
    <xf numFmtId="0" fontId="15" fillId="9" borderId="4" xfId="0" applyFont="1" applyFill="1" applyBorder="1" applyAlignment="1" applyProtection="1">
      <alignment horizontal="center"/>
      <protection hidden="1"/>
    </xf>
    <xf numFmtId="0" fontId="1" fillId="8" borderId="37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20" fillId="3" borderId="35" xfId="0" applyFont="1" applyFill="1" applyBorder="1" applyAlignment="1" applyProtection="1">
      <alignment horizontal="center"/>
      <protection hidden="1"/>
    </xf>
    <xf numFmtId="183" fontId="8" fillId="4" borderId="32" xfId="0" applyNumberFormat="1" applyFont="1" applyFill="1" applyBorder="1" applyAlignment="1" applyProtection="1">
      <alignment horizontal="center"/>
      <protection hidden="1"/>
    </xf>
    <xf numFmtId="183" fontId="8" fillId="4" borderId="33" xfId="0" applyNumberFormat="1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2" xfId="0" applyFont="1" applyFill="1" applyBorder="1" applyAlignment="1" applyProtection="1">
      <alignment horizontal="center" vertical="top" wrapText="1"/>
      <protection hidden="1"/>
    </xf>
    <xf numFmtId="0" fontId="0" fillId="3" borderId="0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/>
      <protection hidden="1"/>
    </xf>
    <xf numFmtId="2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center" vertical="center"/>
      <protection hidden="1"/>
    </xf>
    <xf numFmtId="3" fontId="1" fillId="3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39" fillId="7" borderId="0" xfId="0" applyFont="1" applyFill="1" applyBorder="1" applyAlignment="1" applyProtection="1">
      <alignment horizontal="right" vertical="center"/>
      <protection hidden="1"/>
    </xf>
    <xf numFmtId="0" fontId="39" fillId="7" borderId="0" xfId="0" applyFont="1" applyFill="1" applyBorder="1" applyAlignment="1" applyProtection="1">
      <alignment horizontal="left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33" fillId="9" borderId="27" xfId="0" applyFont="1" applyFill="1" applyBorder="1" applyAlignment="1" applyProtection="1">
      <alignment horizontal="center" vertical="center"/>
      <protection hidden="1"/>
    </xf>
    <xf numFmtId="0" fontId="33" fillId="9" borderId="36" xfId="0" applyFont="1" applyFill="1" applyBorder="1" applyAlignment="1" applyProtection="1">
      <alignment horizontal="center" vertical="center"/>
      <protection hidden="1"/>
    </xf>
    <xf numFmtId="0" fontId="33" fillId="9" borderId="5" xfId="0" applyFont="1" applyFill="1" applyBorder="1" applyAlignment="1" applyProtection="1">
      <alignment horizontal="center" vertical="center"/>
      <protection hidden="1"/>
    </xf>
    <xf numFmtId="0" fontId="33" fillId="9" borderId="4" xfId="0" applyFont="1" applyFill="1" applyBorder="1" applyAlignment="1" applyProtection="1">
      <alignment horizontal="center" vertical="center"/>
      <protection hidden="1"/>
    </xf>
    <xf numFmtId="0" fontId="37" fillId="9" borderId="36" xfId="20" applyFont="1" applyFill="1" applyBorder="1" applyAlignment="1" applyProtection="1">
      <alignment horizontal="center" vertical="center"/>
      <protection hidden="1"/>
    </xf>
    <xf numFmtId="0" fontId="37" fillId="9" borderId="28" xfId="2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3" fillId="9" borderId="27" xfId="0" applyFont="1" applyFill="1" applyBorder="1" applyAlignment="1" applyProtection="1">
      <alignment horizontal="left" vertical="center"/>
      <protection hidden="1"/>
    </xf>
    <xf numFmtId="0" fontId="13" fillId="9" borderId="36" xfId="0" applyFont="1" applyFill="1" applyBorder="1" applyAlignment="1" applyProtection="1">
      <alignment horizontal="left" vertical="center"/>
      <protection hidden="1"/>
    </xf>
    <xf numFmtId="0" fontId="13" fillId="9" borderId="5" xfId="0" applyFont="1" applyFill="1" applyBorder="1" applyAlignment="1" applyProtection="1">
      <alignment horizontal="left" vertical="center"/>
      <protection hidden="1"/>
    </xf>
    <xf numFmtId="0" fontId="13" fillId="9" borderId="4" xfId="0" applyFont="1" applyFill="1" applyBorder="1" applyAlignment="1" applyProtection="1">
      <alignment horizontal="left" vertical="center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11" fillId="9" borderId="6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1" fontId="0" fillId="3" borderId="0" xfId="0" applyNumberFormat="1" applyFont="1" applyFill="1" applyBorder="1" applyAlignment="1" applyProtection="1">
      <alignment horizontal="center"/>
      <protection hidden="1"/>
    </xf>
    <xf numFmtId="183" fontId="0" fillId="3" borderId="0" xfId="0" applyNumberFormat="1" applyFont="1" applyFill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ngth" xfId="21"/>
    <cellStyle name="Percent" xfId="22"/>
  </cellStyles>
  <dxfs count="15">
    <dxf>
      <font>
        <b/>
        <i val="0"/>
        <color rgb="FFFF0000"/>
      </font>
      <border/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i val="0"/>
        <color rgb="FFFFFF99"/>
      </font>
      <border/>
    </dxf>
    <dxf>
      <font>
        <b/>
        <i val="0"/>
        <color rgb="FFFF0000"/>
      </font>
      <fill>
        <patternFill patternType="solid">
          <bgColor rgb="FFC0C0C0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CFFCC"/>
      </font>
      <border/>
    </dxf>
    <dxf>
      <fill>
        <patternFill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C0C0C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99"/>
      </font>
      <fill>
        <patternFill patternType="solid">
          <bgColor rgb="FFFFFF99"/>
        </patternFill>
      </fill>
      <border/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</xdr:row>
      <xdr:rowOff>142875</xdr:rowOff>
    </xdr:from>
    <xdr:to>
      <xdr:col>5</xdr:col>
      <xdr:colOff>47625</xdr:colOff>
      <xdr:row>12</xdr:row>
      <xdr:rowOff>104775</xdr:rowOff>
    </xdr:to>
    <xdr:sp>
      <xdr:nvSpPr>
        <xdr:cNvPr id="1" name="Oval 20"/>
        <xdr:cNvSpPr>
          <a:spLocks/>
        </xdr:cNvSpPr>
      </xdr:nvSpPr>
      <xdr:spPr>
        <a:xfrm>
          <a:off x="676275" y="885825"/>
          <a:ext cx="1295400" cy="13335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5</xdr:row>
      <xdr:rowOff>66675</xdr:rowOff>
    </xdr:from>
    <xdr:to>
      <xdr:col>8</xdr:col>
      <xdr:colOff>542925</xdr:colOff>
      <xdr:row>11</xdr:row>
      <xdr:rowOff>152400</xdr:rowOff>
    </xdr:to>
    <xdr:sp>
      <xdr:nvSpPr>
        <xdr:cNvPr id="2" name="Oval 21"/>
        <xdr:cNvSpPr>
          <a:spLocks/>
        </xdr:cNvSpPr>
      </xdr:nvSpPr>
      <xdr:spPr>
        <a:xfrm>
          <a:off x="3000375" y="809625"/>
          <a:ext cx="1295400" cy="1266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123825</xdr:rowOff>
    </xdr:from>
    <xdr:to>
      <xdr:col>5</xdr:col>
      <xdr:colOff>161925</xdr:colOff>
      <xdr:row>38</xdr:row>
      <xdr:rowOff>180975</xdr:rowOff>
    </xdr:to>
    <xdr:sp>
      <xdr:nvSpPr>
        <xdr:cNvPr id="3" name="Rectangle 22"/>
        <xdr:cNvSpPr>
          <a:spLocks/>
        </xdr:cNvSpPr>
      </xdr:nvSpPr>
      <xdr:spPr>
        <a:xfrm>
          <a:off x="895350" y="6105525"/>
          <a:ext cx="1190625" cy="1228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31</xdr:row>
      <xdr:rowOff>76200</xdr:rowOff>
    </xdr:from>
    <xdr:to>
      <xdr:col>8</xdr:col>
      <xdr:colOff>419100</xdr:colOff>
      <xdr:row>37</xdr:row>
      <xdr:rowOff>0</xdr:rowOff>
    </xdr:to>
    <xdr:sp>
      <xdr:nvSpPr>
        <xdr:cNvPr id="4" name="Rectangle 23"/>
        <xdr:cNvSpPr>
          <a:spLocks/>
        </xdr:cNvSpPr>
      </xdr:nvSpPr>
      <xdr:spPr>
        <a:xfrm>
          <a:off x="3067050" y="5857875"/>
          <a:ext cx="11049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51</xdr:row>
      <xdr:rowOff>66675</xdr:rowOff>
    </xdr:from>
    <xdr:to>
      <xdr:col>6</xdr:col>
      <xdr:colOff>314325</xdr:colOff>
      <xdr:row>55</xdr:row>
      <xdr:rowOff>95250</xdr:rowOff>
    </xdr:to>
    <xdr:sp>
      <xdr:nvSpPr>
        <xdr:cNvPr id="5" name="Rectangle 24"/>
        <xdr:cNvSpPr>
          <a:spLocks/>
        </xdr:cNvSpPr>
      </xdr:nvSpPr>
      <xdr:spPr>
        <a:xfrm>
          <a:off x="1390650" y="9782175"/>
          <a:ext cx="1457325" cy="8286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50</xdr:row>
      <xdr:rowOff>85725</xdr:rowOff>
    </xdr:from>
    <xdr:to>
      <xdr:col>10</xdr:col>
      <xdr:colOff>123825</xdr:colOff>
      <xdr:row>54</xdr:row>
      <xdr:rowOff>123825</xdr:rowOff>
    </xdr:to>
    <xdr:sp>
      <xdr:nvSpPr>
        <xdr:cNvPr id="6" name="Rectangle 25"/>
        <xdr:cNvSpPr>
          <a:spLocks/>
        </xdr:cNvSpPr>
      </xdr:nvSpPr>
      <xdr:spPr>
        <a:xfrm>
          <a:off x="3638550" y="9601200"/>
          <a:ext cx="14573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62</xdr:row>
      <xdr:rowOff>0</xdr:rowOff>
    </xdr:from>
    <xdr:to>
      <xdr:col>7</xdr:col>
      <xdr:colOff>104775</xdr:colOff>
      <xdr:row>67</xdr:row>
      <xdr:rowOff>104775</xdr:rowOff>
    </xdr:to>
    <xdr:sp>
      <xdr:nvSpPr>
        <xdr:cNvPr id="7" name="AutoShape 26"/>
        <xdr:cNvSpPr>
          <a:spLocks/>
        </xdr:cNvSpPr>
      </xdr:nvSpPr>
      <xdr:spPr>
        <a:xfrm>
          <a:off x="1352550" y="11887200"/>
          <a:ext cx="1895475" cy="1085850"/>
        </a:xfrm>
        <a:prstGeom prst="rt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63</xdr:row>
      <xdr:rowOff>28575</xdr:rowOff>
    </xdr:from>
    <xdr:to>
      <xdr:col>10</xdr:col>
      <xdr:colOff>514350</xdr:colOff>
      <xdr:row>67</xdr:row>
      <xdr:rowOff>152400</xdr:rowOff>
    </xdr:to>
    <xdr:sp>
      <xdr:nvSpPr>
        <xdr:cNvPr id="8" name="AutoShape 27"/>
        <xdr:cNvSpPr>
          <a:spLocks/>
        </xdr:cNvSpPr>
      </xdr:nvSpPr>
      <xdr:spPr>
        <a:xfrm>
          <a:off x="3733800" y="12106275"/>
          <a:ext cx="1752600" cy="9144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86</xdr:row>
      <xdr:rowOff>66675</xdr:rowOff>
    </xdr:from>
    <xdr:to>
      <xdr:col>6</xdr:col>
      <xdr:colOff>381000</xdr:colOff>
      <xdr:row>92</xdr:row>
      <xdr:rowOff>38100</xdr:rowOff>
    </xdr:to>
    <xdr:sp>
      <xdr:nvSpPr>
        <xdr:cNvPr id="9" name="AutoShape 28"/>
        <xdr:cNvSpPr>
          <a:spLocks/>
        </xdr:cNvSpPr>
      </xdr:nvSpPr>
      <xdr:spPr>
        <a:xfrm>
          <a:off x="1562100" y="16811625"/>
          <a:ext cx="1352550" cy="1162050"/>
        </a:xfrm>
        <a:prstGeom prst="hexagon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86</xdr:row>
      <xdr:rowOff>180975</xdr:rowOff>
    </xdr:from>
    <xdr:to>
      <xdr:col>9</xdr:col>
      <xdr:colOff>561975</xdr:colOff>
      <xdr:row>92</xdr:row>
      <xdr:rowOff>152400</xdr:rowOff>
    </xdr:to>
    <xdr:sp>
      <xdr:nvSpPr>
        <xdr:cNvPr id="10" name="AutoShape 29"/>
        <xdr:cNvSpPr>
          <a:spLocks/>
        </xdr:cNvSpPr>
      </xdr:nvSpPr>
      <xdr:spPr>
        <a:xfrm>
          <a:off x="3562350" y="16925925"/>
          <a:ext cx="1362075" cy="1162050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73</xdr:row>
      <xdr:rowOff>38100</xdr:rowOff>
    </xdr:from>
    <xdr:to>
      <xdr:col>6</xdr:col>
      <xdr:colOff>495300</xdr:colOff>
      <xdr:row>80</xdr:row>
      <xdr:rowOff>0</xdr:rowOff>
    </xdr:to>
    <xdr:sp>
      <xdr:nvSpPr>
        <xdr:cNvPr id="11" name="AutoShape 30"/>
        <xdr:cNvSpPr>
          <a:spLocks/>
        </xdr:cNvSpPr>
      </xdr:nvSpPr>
      <xdr:spPr>
        <a:xfrm>
          <a:off x="1457325" y="14249400"/>
          <a:ext cx="1571625" cy="1323975"/>
        </a:xfrm>
        <a:prstGeom prst="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74</xdr:row>
      <xdr:rowOff>0</xdr:rowOff>
    </xdr:from>
    <xdr:to>
      <xdr:col>10</xdr:col>
      <xdr:colOff>323850</xdr:colOff>
      <xdr:row>80</xdr:row>
      <xdr:rowOff>38100</xdr:rowOff>
    </xdr:to>
    <xdr:sp>
      <xdr:nvSpPr>
        <xdr:cNvPr id="12" name="AutoShape 31"/>
        <xdr:cNvSpPr>
          <a:spLocks/>
        </xdr:cNvSpPr>
      </xdr:nvSpPr>
      <xdr:spPr>
        <a:xfrm>
          <a:off x="3695700" y="14411325"/>
          <a:ext cx="1600200" cy="12001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67</xdr:row>
      <xdr:rowOff>66675</xdr:rowOff>
    </xdr:from>
    <xdr:to>
      <xdr:col>4</xdr:col>
      <xdr:colOff>66675</xdr:colOff>
      <xdr:row>68</xdr:row>
      <xdr:rowOff>9525</xdr:rowOff>
    </xdr:to>
    <xdr:sp>
      <xdr:nvSpPr>
        <xdr:cNvPr id="13" name="Line 32"/>
        <xdr:cNvSpPr>
          <a:spLocks/>
        </xdr:cNvSpPr>
      </xdr:nvSpPr>
      <xdr:spPr>
        <a:xfrm flipV="1">
          <a:off x="1304925" y="12934950"/>
          <a:ext cx="76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61</xdr:row>
      <xdr:rowOff>95250</xdr:rowOff>
    </xdr:from>
    <xdr:to>
      <xdr:col>5</xdr:col>
      <xdr:colOff>0</xdr:colOff>
      <xdr:row>61</xdr:row>
      <xdr:rowOff>180975</xdr:rowOff>
    </xdr:to>
    <xdr:sp>
      <xdr:nvSpPr>
        <xdr:cNvPr id="14" name="Line 33"/>
        <xdr:cNvSpPr>
          <a:spLocks/>
        </xdr:cNvSpPr>
      </xdr:nvSpPr>
      <xdr:spPr>
        <a:xfrm flipH="1">
          <a:off x="1409700" y="11782425"/>
          <a:ext cx="514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65</xdr:row>
      <xdr:rowOff>0</xdr:rowOff>
    </xdr:from>
    <xdr:to>
      <xdr:col>7</xdr:col>
      <xdr:colOff>66675</xdr:colOff>
      <xdr:row>67</xdr:row>
      <xdr:rowOff>38100</xdr:rowOff>
    </xdr:to>
    <xdr:sp>
      <xdr:nvSpPr>
        <xdr:cNvPr id="15" name="Line 34"/>
        <xdr:cNvSpPr>
          <a:spLocks/>
        </xdr:cNvSpPr>
      </xdr:nvSpPr>
      <xdr:spPr>
        <a:xfrm>
          <a:off x="2857500" y="12477750"/>
          <a:ext cx="352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333375</xdr:colOff>
      <xdr:row>15</xdr:row>
      <xdr:rowOff>152400</xdr:rowOff>
    </xdr:from>
    <xdr:to>
      <xdr:col>8</xdr:col>
      <xdr:colOff>66675</xdr:colOff>
      <xdr:row>21</xdr:row>
      <xdr:rowOff>28575</xdr:rowOff>
    </xdr:to>
    <xdr:pic>
      <xdr:nvPicPr>
        <xdr:cNvPr id="1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857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42</xdr:row>
      <xdr:rowOff>95250</xdr:rowOff>
    </xdr:from>
    <xdr:to>
      <xdr:col>6</xdr:col>
      <xdr:colOff>504825</xdr:colOff>
      <xdr:row>45</xdr:row>
      <xdr:rowOff>38100</xdr:rowOff>
    </xdr:to>
    <xdr:sp>
      <xdr:nvSpPr>
        <xdr:cNvPr id="17" name="Rectangle 73"/>
        <xdr:cNvSpPr>
          <a:spLocks/>
        </xdr:cNvSpPr>
      </xdr:nvSpPr>
      <xdr:spPr>
        <a:xfrm>
          <a:off x="2419350" y="8020050"/>
          <a:ext cx="619125" cy="542925"/>
        </a:xfrm>
        <a:prstGeom prst="rect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21</xdr:row>
      <xdr:rowOff>190500</xdr:rowOff>
    </xdr:from>
    <xdr:to>
      <xdr:col>6</xdr:col>
      <xdr:colOff>400050</xdr:colOff>
      <xdr:row>28</xdr:row>
      <xdr:rowOff>38100</xdr:rowOff>
    </xdr:to>
    <xdr:pic>
      <xdr:nvPicPr>
        <xdr:cNvPr id="18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3971925"/>
          <a:ext cx="857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jhw.co.uk/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6"/>
  <sheetViews>
    <sheetView showGridLines="0" showRowColHeaders="0"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5" customWidth="1"/>
    <col min="2" max="2" width="4.57421875" style="5" customWidth="1"/>
    <col min="3" max="3" width="4.421875" style="5" customWidth="1"/>
    <col min="4" max="5" width="36.57421875" style="59" customWidth="1"/>
    <col min="6" max="6" width="4.421875" style="5" customWidth="1"/>
    <col min="7" max="16384" width="9.140625" style="5" customWidth="1"/>
  </cols>
  <sheetData>
    <row r="1" ht="7.5" customHeight="1" thickBot="1"/>
    <row r="2" spans="2:6" ht="15.75">
      <c r="B2" s="305"/>
      <c r="C2" s="417" t="s">
        <v>1</v>
      </c>
      <c r="D2" s="417"/>
      <c r="E2" s="417"/>
      <c r="F2" s="306"/>
    </row>
    <row r="3" spans="2:6" ht="24" thickBot="1">
      <c r="B3" s="307"/>
      <c r="C3" s="415" t="s">
        <v>13</v>
      </c>
      <c r="D3" s="415"/>
      <c r="E3" s="415"/>
      <c r="F3" s="308"/>
    </row>
    <row r="4" spans="2:6" ht="13.5" thickTop="1">
      <c r="B4" s="60"/>
      <c r="C4" s="419" t="s">
        <v>195</v>
      </c>
      <c r="D4" s="419"/>
      <c r="E4" s="419"/>
      <c r="F4" s="61"/>
    </row>
    <row r="5" spans="2:6" ht="12.75">
      <c r="B5" s="60"/>
      <c r="C5" s="420" t="s">
        <v>196</v>
      </c>
      <c r="D5" s="420"/>
      <c r="E5" s="420"/>
      <c r="F5" s="61"/>
    </row>
    <row r="6" spans="2:6" ht="12.75" customHeight="1">
      <c r="B6" s="421" t="s">
        <v>241</v>
      </c>
      <c r="C6" s="418"/>
      <c r="D6" s="418"/>
      <c r="E6" s="418"/>
      <c r="F6" s="422"/>
    </row>
    <row r="7" spans="2:6" ht="12.75" customHeight="1">
      <c r="B7" s="60"/>
      <c r="C7" s="418" t="s">
        <v>142</v>
      </c>
      <c r="D7" s="418"/>
      <c r="E7" s="418"/>
      <c r="F7" s="61"/>
    </row>
    <row r="8" spans="2:6" ht="12.75">
      <c r="B8" s="60"/>
      <c r="C8" s="411" t="s">
        <v>12</v>
      </c>
      <c r="D8" s="411"/>
      <c r="E8" s="411"/>
      <c r="F8" s="61"/>
    </row>
    <row r="9" spans="2:6" ht="4.5" customHeight="1">
      <c r="B9" s="60"/>
      <c r="C9" s="104"/>
      <c r="D9" s="104"/>
      <c r="E9" s="104"/>
      <c r="F9" s="61"/>
    </row>
    <row r="10" spans="2:6" ht="15.75">
      <c r="B10" s="60"/>
      <c r="C10" s="414" t="s">
        <v>291</v>
      </c>
      <c r="D10" s="414"/>
      <c r="E10" s="414"/>
      <c r="F10" s="61"/>
    </row>
    <row r="11" spans="2:6" ht="15.75" customHeight="1">
      <c r="B11" s="60"/>
      <c r="C11" s="412" t="s">
        <v>290</v>
      </c>
      <c r="D11" s="412"/>
      <c r="E11" s="238"/>
      <c r="F11" s="61"/>
    </row>
    <row r="12" spans="2:6" ht="15.75">
      <c r="B12" s="60"/>
      <c r="C12" s="413" t="s">
        <v>143</v>
      </c>
      <c r="D12" s="413"/>
      <c r="E12" s="236"/>
      <c r="F12" s="61"/>
    </row>
    <row r="13" spans="2:6" ht="53.25" customHeight="1">
      <c r="B13" s="60"/>
      <c r="C13" s="104"/>
      <c r="D13" s="416" t="s">
        <v>316</v>
      </c>
      <c r="E13" s="416"/>
      <c r="F13" s="61"/>
    </row>
    <row r="14" spans="2:6" ht="4.5" customHeight="1">
      <c r="B14" s="60"/>
      <c r="C14" s="411"/>
      <c r="D14" s="411"/>
      <c r="E14" s="104"/>
      <c r="F14" s="61"/>
    </row>
    <row r="15" spans="2:6" ht="15.75">
      <c r="B15" s="60"/>
      <c r="C15" s="413" t="s">
        <v>18</v>
      </c>
      <c r="D15" s="413"/>
      <c r="E15" s="236"/>
      <c r="F15" s="61"/>
    </row>
    <row r="16" spans="2:6" ht="25.5" customHeight="1">
      <c r="B16" s="60"/>
      <c r="C16" s="62"/>
      <c r="D16" s="406" t="s">
        <v>141</v>
      </c>
      <c r="E16" s="406"/>
      <c r="F16" s="61"/>
    </row>
    <row r="17" spans="2:6" ht="4.5" customHeight="1">
      <c r="B17" s="60"/>
      <c r="C17" s="62"/>
      <c r="D17" s="63"/>
      <c r="E17" s="63"/>
      <c r="F17" s="61"/>
    </row>
    <row r="18" spans="2:6" ht="15.75" customHeight="1">
      <c r="B18" s="60"/>
      <c r="C18" s="408" t="s">
        <v>140</v>
      </c>
      <c r="D18" s="408"/>
      <c r="E18" s="237"/>
      <c r="F18" s="61"/>
    </row>
    <row r="19" spans="2:6" ht="25.5" customHeight="1">
      <c r="B19" s="60"/>
      <c r="C19" s="62"/>
      <c r="D19" s="406" t="s">
        <v>152</v>
      </c>
      <c r="E19" s="406"/>
      <c r="F19" s="61"/>
    </row>
    <row r="20" spans="2:6" ht="4.5" customHeight="1">
      <c r="B20" s="60"/>
      <c r="C20" s="62"/>
      <c r="D20" s="63"/>
      <c r="E20" s="63"/>
      <c r="F20" s="61"/>
    </row>
    <row r="21" spans="2:6" ht="15.75">
      <c r="B21" s="60"/>
      <c r="C21" s="408" t="s">
        <v>60</v>
      </c>
      <c r="D21" s="408"/>
      <c r="E21" s="237"/>
      <c r="F21" s="61"/>
    </row>
    <row r="22" spans="2:6" ht="27.75" customHeight="1">
      <c r="B22" s="60"/>
      <c r="C22" s="62"/>
      <c r="D22" s="406" t="s">
        <v>209</v>
      </c>
      <c r="E22" s="406"/>
      <c r="F22" s="61"/>
    </row>
    <row r="23" spans="2:6" ht="4.5" customHeight="1">
      <c r="B23" s="60"/>
      <c r="C23" s="423"/>
      <c r="D23" s="423"/>
      <c r="E23" s="114"/>
      <c r="F23" s="61"/>
    </row>
    <row r="24" spans="2:6" ht="15.75">
      <c r="B24" s="60"/>
      <c r="C24" s="413" t="s">
        <v>14</v>
      </c>
      <c r="D24" s="413"/>
      <c r="E24" s="236"/>
      <c r="F24" s="61"/>
    </row>
    <row r="25" spans="2:6" ht="14.25" customHeight="1">
      <c r="B25" s="60"/>
      <c r="C25" s="62"/>
      <c r="D25" s="424" t="s">
        <v>47</v>
      </c>
      <c r="E25" s="424"/>
      <c r="F25" s="61"/>
    </row>
    <row r="26" spans="2:6" ht="4.5" customHeight="1">
      <c r="B26" s="60"/>
      <c r="C26" s="62"/>
      <c r="D26" s="63"/>
      <c r="E26" s="63"/>
      <c r="F26" s="61"/>
    </row>
    <row r="27" spans="2:6" ht="15.75">
      <c r="B27" s="60"/>
      <c r="C27" s="408" t="s">
        <v>80</v>
      </c>
      <c r="D27" s="408"/>
      <c r="E27" s="237"/>
      <c r="F27" s="61"/>
    </row>
    <row r="28" spans="2:6" ht="53.25" customHeight="1">
      <c r="B28" s="60"/>
      <c r="C28" s="62"/>
      <c r="D28" s="406" t="s">
        <v>321</v>
      </c>
      <c r="E28" s="406"/>
      <c r="F28" s="61"/>
    </row>
    <row r="29" spans="2:6" ht="4.5" customHeight="1">
      <c r="B29" s="60"/>
      <c r="C29" s="62"/>
      <c r="D29" s="63"/>
      <c r="E29" s="63"/>
      <c r="F29" s="61"/>
    </row>
    <row r="30" spans="2:6" ht="15.75">
      <c r="B30" s="60"/>
      <c r="C30" s="408" t="s">
        <v>136</v>
      </c>
      <c r="D30" s="408"/>
      <c r="E30" s="237"/>
      <c r="F30" s="61"/>
    </row>
    <row r="31" spans="2:6" ht="27.75" customHeight="1">
      <c r="B31" s="60"/>
      <c r="C31" s="62"/>
      <c r="D31" s="406" t="s">
        <v>167</v>
      </c>
      <c r="E31" s="406"/>
      <c r="F31" s="61"/>
    </row>
    <row r="32" spans="2:6" ht="4.5" customHeight="1">
      <c r="B32" s="60"/>
      <c r="C32" s="62"/>
      <c r="D32" s="63"/>
      <c r="E32" s="63"/>
      <c r="F32" s="61"/>
    </row>
    <row r="33" spans="2:6" ht="15.75">
      <c r="B33" s="60"/>
      <c r="C33" s="408" t="s">
        <v>121</v>
      </c>
      <c r="D33" s="408"/>
      <c r="E33" s="408" t="s">
        <v>154</v>
      </c>
      <c r="F33" s="408"/>
    </row>
    <row r="34" spans="2:6" ht="27" customHeight="1">
      <c r="B34" s="60"/>
      <c r="C34" s="62"/>
      <c r="D34" s="260" t="s">
        <v>168</v>
      </c>
      <c r="E34" s="271" t="s">
        <v>169</v>
      </c>
      <c r="F34" s="61"/>
    </row>
    <row r="35" spans="2:6" ht="4.5" customHeight="1">
      <c r="B35" s="60"/>
      <c r="C35" s="423"/>
      <c r="D35" s="423"/>
      <c r="E35" s="114"/>
      <c r="F35" s="61"/>
    </row>
    <row r="36" spans="2:6" ht="15.75">
      <c r="B36" s="60"/>
      <c r="C36" s="413" t="s">
        <v>50</v>
      </c>
      <c r="D36" s="413"/>
      <c r="E36" s="236"/>
      <c r="F36" s="61"/>
    </row>
    <row r="37" spans="2:6" ht="26.25" customHeight="1">
      <c r="B37" s="60"/>
      <c r="C37" s="62"/>
      <c r="D37" s="406" t="s">
        <v>59</v>
      </c>
      <c r="E37" s="406"/>
      <c r="F37" s="61"/>
    </row>
    <row r="38" spans="2:6" ht="4.5" customHeight="1">
      <c r="B38" s="60"/>
      <c r="C38" s="62"/>
      <c r="D38" s="63"/>
      <c r="E38" s="63"/>
      <c r="F38" s="61"/>
    </row>
    <row r="39" spans="2:6" ht="15.75">
      <c r="B39" s="60"/>
      <c r="C39" s="408" t="s">
        <v>240</v>
      </c>
      <c r="D39" s="408"/>
      <c r="E39" s="237"/>
      <c r="F39" s="61"/>
    </row>
    <row r="40" spans="2:6" ht="27" customHeight="1">
      <c r="B40" s="60"/>
      <c r="C40" s="62"/>
      <c r="D40" s="406" t="s">
        <v>285</v>
      </c>
      <c r="E40" s="406"/>
      <c r="F40" s="61"/>
    </row>
    <row r="41" spans="2:6" ht="4.5" customHeight="1">
      <c r="B41" s="60"/>
      <c r="C41" s="62"/>
      <c r="D41" s="63"/>
      <c r="E41" s="63"/>
      <c r="F41" s="61"/>
    </row>
    <row r="42" spans="2:6" ht="15.75">
      <c r="B42" s="60"/>
      <c r="C42" s="408" t="s">
        <v>292</v>
      </c>
      <c r="D42" s="408"/>
      <c r="E42" s="408" t="s">
        <v>254</v>
      </c>
      <c r="F42" s="409"/>
    </row>
    <row r="43" spans="2:6" ht="51">
      <c r="B43" s="60"/>
      <c r="C43" s="63"/>
      <c r="D43" s="63" t="s">
        <v>302</v>
      </c>
      <c r="E43" s="271" t="s">
        <v>269</v>
      </c>
      <c r="F43" s="61"/>
    </row>
    <row r="44" spans="2:6" ht="4.5" customHeight="1">
      <c r="B44" s="60"/>
      <c r="C44" s="410"/>
      <c r="D44" s="410"/>
      <c r="E44" s="62"/>
      <c r="F44" s="61"/>
    </row>
    <row r="45" spans="2:6" ht="15.75">
      <c r="B45" s="60"/>
      <c r="C45" s="62"/>
      <c r="D45" s="407" t="s">
        <v>0</v>
      </c>
      <c r="E45" s="407"/>
      <c r="F45" s="61"/>
    </row>
    <row r="46" spans="2:6" ht="7.5" customHeight="1" thickBot="1">
      <c r="B46" s="64"/>
      <c r="C46" s="65"/>
      <c r="D46" s="66"/>
      <c r="E46" s="66"/>
      <c r="F46" s="67"/>
    </row>
  </sheetData>
  <sheetProtection password="DA6D" sheet="1" objects="1" scenarios="1"/>
  <mergeCells count="36">
    <mergeCell ref="C35:D35"/>
    <mergeCell ref="C24:D24"/>
    <mergeCell ref="C30:D30"/>
    <mergeCell ref="E33:F33"/>
    <mergeCell ref="D31:E31"/>
    <mergeCell ref="C18:D18"/>
    <mergeCell ref="C36:D36"/>
    <mergeCell ref="C23:D23"/>
    <mergeCell ref="D19:E19"/>
    <mergeCell ref="D22:E22"/>
    <mergeCell ref="D25:E25"/>
    <mergeCell ref="C21:D21"/>
    <mergeCell ref="C27:D27"/>
    <mergeCell ref="C33:D33"/>
    <mergeCell ref="D28:E28"/>
    <mergeCell ref="C2:E2"/>
    <mergeCell ref="C7:E7"/>
    <mergeCell ref="C8:E8"/>
    <mergeCell ref="C4:E4"/>
    <mergeCell ref="C5:E5"/>
    <mergeCell ref="B6:F6"/>
    <mergeCell ref="C10:E10"/>
    <mergeCell ref="C3:E3"/>
    <mergeCell ref="C12:D12"/>
    <mergeCell ref="D13:E13"/>
    <mergeCell ref="D16:E16"/>
    <mergeCell ref="C14:D14"/>
    <mergeCell ref="C11:D11"/>
    <mergeCell ref="C15:D15"/>
    <mergeCell ref="D37:E37"/>
    <mergeCell ref="D45:E45"/>
    <mergeCell ref="D40:E40"/>
    <mergeCell ref="E42:F42"/>
    <mergeCell ref="C42:D42"/>
    <mergeCell ref="C39:D39"/>
    <mergeCell ref="C44:D44"/>
  </mergeCells>
  <hyperlinks>
    <hyperlink ref="D45" r:id="rId1" display="www.ajhw.co.uk"/>
    <hyperlink ref="C24:D24" location="Weight!A1" display="Weight"/>
    <hyperlink ref="C36:D36" location="Temperature!A1" display="Temperature"/>
    <hyperlink ref="C15:D15" location="Length!A1" display="Length"/>
    <hyperlink ref="C21:D21" location="Area!A1" display="Area"/>
    <hyperlink ref="C27:D27" location="Volume!A1" display="Volume"/>
    <hyperlink ref="C33:D33" location="Pressure!A1" display="Pressure"/>
    <hyperlink ref="C30:D30" location="Speed!A1" display="Speed"/>
    <hyperlink ref="C18:D18" location="Length!A44" display="Lengths and Sizes Under One Inch"/>
    <hyperlink ref="C12:D12" location="Numbers!A1" display="Numbers"/>
    <hyperlink ref="E33:F33" location="Torque!A1" display="Torque"/>
    <hyperlink ref="C39:D39" location="'Shapes to Area and Volume'!A1" display="Shapes to Area and Volume"/>
    <hyperlink ref="C10:D10" location="'British Imperial units'!A1" display="Converting to British Imperial units"/>
    <hyperlink ref="C42" location="'Paper Sizes'!A1" display="Paper Sizes"/>
    <hyperlink ref="E42:F42" location="'Time Calculator'!A1" display="Time Calculator"/>
  </hyperlinks>
  <printOptions horizontalCentered="1" verticalCentered="1"/>
  <pageMargins left="0.7480314960629921" right="0.7480314960629921" top="0.7086614173228347" bottom="0.7086614173228347" header="0.5118110236220472" footer="0.5118110236220472"/>
  <pageSetup horizontalDpi="300" verticalDpi="300" orientation="portrait" paperSize="9" r:id="rId2"/>
  <headerFooter alignWithMargins="0">
    <oddHeader>&amp;LIntroduction &amp;RDownloaded from www.ajhw.co.uk</oddHeader>
    <oddFooter>&amp;LA.J.H. Computer Services&amp;R© AJH 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S1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421875" style="5" customWidth="1"/>
    <col min="3" max="3" width="2.8515625" style="6" customWidth="1"/>
    <col min="4" max="4" width="4.140625" style="6" customWidth="1"/>
    <col min="5" max="6" width="10.8515625" style="5" customWidth="1"/>
    <col min="7" max="8" width="4.140625" style="5" customWidth="1"/>
    <col min="9" max="9" width="10.8515625" style="5" customWidth="1"/>
    <col min="10" max="10" width="10.7109375" style="5" customWidth="1"/>
    <col min="11" max="11" width="4.140625" style="5" customWidth="1"/>
    <col min="12" max="12" width="6.140625" style="5" customWidth="1"/>
    <col min="13" max="13" width="1.421875" style="6" customWidth="1"/>
    <col min="14" max="14" width="7.00390625" style="7" customWidth="1"/>
    <col min="15" max="16384" width="9.140625" style="5" customWidth="1"/>
  </cols>
  <sheetData>
    <row r="1" ht="7.5" customHeight="1" thickBot="1"/>
    <row r="2" spans="2:19" ht="18.75" customHeight="1">
      <c r="B2" s="456" t="s">
        <v>13</v>
      </c>
      <c r="C2" s="457"/>
      <c r="D2" s="457"/>
      <c r="E2" s="457"/>
      <c r="F2" s="457"/>
      <c r="G2" s="457"/>
      <c r="H2" s="457"/>
      <c r="I2" s="457"/>
      <c r="J2" s="460" t="s">
        <v>1</v>
      </c>
      <c r="K2" s="460"/>
      <c r="L2" s="460"/>
      <c r="M2" s="461"/>
      <c r="N2" s="8"/>
      <c r="O2" s="9"/>
      <c r="P2" s="9"/>
      <c r="Q2" s="9"/>
      <c r="R2" s="9"/>
      <c r="S2" s="9"/>
    </row>
    <row r="3" spans="2:19" ht="12.75" customHeight="1" thickBot="1">
      <c r="B3" s="458"/>
      <c r="C3" s="459"/>
      <c r="D3" s="459"/>
      <c r="E3" s="459"/>
      <c r="F3" s="459"/>
      <c r="G3" s="459"/>
      <c r="H3" s="459"/>
      <c r="I3" s="459"/>
      <c r="J3" s="396" t="s">
        <v>0</v>
      </c>
      <c r="K3" s="396"/>
      <c r="L3" s="396"/>
      <c r="M3" s="383"/>
      <c r="N3" s="8"/>
      <c r="O3" s="9"/>
      <c r="P3" s="9"/>
      <c r="Q3" s="9"/>
      <c r="R3" s="9"/>
      <c r="S3" s="9"/>
    </row>
    <row r="4" spans="2:19" ht="13.5" thickTop="1">
      <c r="B4" s="16"/>
      <c r="C4" s="17"/>
      <c r="D4" s="29"/>
      <c r="E4" s="17"/>
      <c r="F4" s="17"/>
      <c r="G4" s="17"/>
      <c r="H4" s="17"/>
      <c r="I4" s="17"/>
      <c r="J4" s="20"/>
      <c r="K4" s="20"/>
      <c r="L4" s="20"/>
      <c r="M4" s="18"/>
      <c r="O4" s="9"/>
      <c r="P4" s="9"/>
      <c r="Q4" s="9"/>
      <c r="R4" s="9"/>
      <c r="S4" s="9"/>
    </row>
    <row r="5" spans="2:19" ht="18">
      <c r="B5" s="16"/>
      <c r="C5" s="45" t="s">
        <v>154</v>
      </c>
      <c r="D5" s="29"/>
      <c r="E5" s="17"/>
      <c r="F5" s="17"/>
      <c r="G5" s="17"/>
      <c r="H5" s="17"/>
      <c r="I5" s="17"/>
      <c r="J5" s="20"/>
      <c r="K5" s="20"/>
      <c r="L5" s="20"/>
      <c r="M5" s="18"/>
      <c r="O5" s="9"/>
      <c r="P5" s="9"/>
      <c r="Q5" s="9"/>
      <c r="R5" s="9"/>
      <c r="S5" s="9"/>
    </row>
    <row r="6" spans="2:19" ht="6" customHeight="1">
      <c r="B6" s="16"/>
      <c r="C6" s="17"/>
      <c r="D6" s="29"/>
      <c r="E6" s="17"/>
      <c r="F6" s="17"/>
      <c r="G6" s="17"/>
      <c r="H6" s="17"/>
      <c r="I6" s="17"/>
      <c r="J6" s="20"/>
      <c r="K6" s="20"/>
      <c r="L6" s="20"/>
      <c r="M6" s="18"/>
      <c r="O6" s="9"/>
      <c r="P6" s="9"/>
      <c r="Q6" s="9"/>
      <c r="R6" s="9"/>
      <c r="S6" s="9"/>
    </row>
    <row r="7" spans="2:19" ht="12.75">
      <c r="B7" s="60"/>
      <c r="C7" s="112"/>
      <c r="D7" s="2"/>
      <c r="E7" s="425" t="s">
        <v>156</v>
      </c>
      <c r="F7" s="425"/>
      <c r="G7" s="17"/>
      <c r="H7" s="1"/>
      <c r="I7" s="425" t="s">
        <v>157</v>
      </c>
      <c r="J7" s="425"/>
      <c r="K7" s="20"/>
      <c r="L7" s="20"/>
      <c r="M7" s="18"/>
      <c r="O7" s="9"/>
      <c r="P7" s="9"/>
      <c r="Q7" s="9"/>
      <c r="R7" s="9"/>
      <c r="S7" s="9"/>
    </row>
    <row r="8" spans="2:19" s="11" customFormat="1" ht="15.75">
      <c r="B8" s="71"/>
      <c r="C8" s="113"/>
      <c r="D8" s="4"/>
      <c r="E8" s="427"/>
      <c r="F8" s="428"/>
      <c r="G8" s="22"/>
      <c r="H8" s="47"/>
      <c r="I8" s="430">
        <f>IF(OR(E8=""),"",E8*1.3558179483314)</f>
      </c>
      <c r="J8" s="430"/>
      <c r="K8" s="48"/>
      <c r="L8" s="48"/>
      <c r="M8" s="23"/>
      <c r="N8" s="12"/>
      <c r="O8" s="10"/>
      <c r="P8" s="10"/>
      <c r="Q8" s="10"/>
      <c r="R8" s="10"/>
      <c r="S8" s="10"/>
    </row>
    <row r="9" spans="2:19" ht="12.75">
      <c r="B9" s="60"/>
      <c r="C9" s="112"/>
      <c r="D9" s="2"/>
      <c r="E9" s="425" t="s">
        <v>155</v>
      </c>
      <c r="F9" s="425"/>
      <c r="G9" s="17"/>
      <c r="H9" s="17"/>
      <c r="I9" s="425" t="s">
        <v>76</v>
      </c>
      <c r="J9" s="425"/>
      <c r="K9" s="20"/>
      <c r="L9" s="20"/>
      <c r="M9" s="18"/>
      <c r="O9" s="9"/>
      <c r="P9" s="9"/>
      <c r="Q9" s="9"/>
      <c r="R9" s="9"/>
      <c r="S9" s="9"/>
    </row>
    <row r="10" spans="2:19" ht="13.5" thickBot="1">
      <c r="B10" s="31"/>
      <c r="C10" s="44"/>
      <c r="D10" s="44"/>
      <c r="E10" s="32"/>
      <c r="F10" s="44"/>
      <c r="G10" s="44"/>
      <c r="H10" s="44"/>
      <c r="I10" s="32"/>
      <c r="J10" s="44"/>
      <c r="K10" s="44"/>
      <c r="L10" s="34"/>
      <c r="M10" s="35"/>
      <c r="O10" s="9"/>
      <c r="P10" s="9"/>
      <c r="Q10" s="9"/>
      <c r="R10" s="9"/>
      <c r="S10" s="9"/>
    </row>
    <row r="11" spans="3:19" ht="12.75">
      <c r="C11" s="5"/>
      <c r="D11" s="5"/>
      <c r="J11" s="6"/>
      <c r="K11" s="13"/>
      <c r="M11" s="5"/>
      <c r="N11" s="9"/>
      <c r="O11" s="9"/>
      <c r="P11" s="9"/>
      <c r="Q11" s="9"/>
      <c r="R11" s="9"/>
      <c r="S11" s="9"/>
    </row>
    <row r="12" spans="15:19" ht="12.75">
      <c r="O12" s="9"/>
      <c r="P12" s="9"/>
      <c r="Q12" s="9"/>
      <c r="R12" s="9"/>
      <c r="S12" s="9"/>
    </row>
  </sheetData>
  <mergeCells count="9">
    <mergeCell ref="J2:M2"/>
    <mergeCell ref="J3:M3"/>
    <mergeCell ref="B2:I3"/>
    <mergeCell ref="E9:F9"/>
    <mergeCell ref="I9:J9"/>
    <mergeCell ref="I7:J7"/>
    <mergeCell ref="E8:F8"/>
    <mergeCell ref="E7:F7"/>
    <mergeCell ref="I8:J8"/>
  </mergeCells>
  <dataValidations count="1">
    <dataValidation type="decimal" allowBlank="1" showInputMessage="1" showErrorMessage="1" errorTitle="Please Re-enter" error="Numbers Only" sqref="E8:F8">
      <formula1>0.000001</formula1>
      <formula2>999999</formula2>
    </dataValidation>
  </dataValidations>
  <hyperlinks>
    <hyperlink ref="J3" r:id="rId1" display="www.ajhw.co.uk"/>
    <hyperlink ref="J2:M2" location="Introduction!A1" display="A.J.H. Computer Service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&amp;LBritish Imperial units Conversions - Torque&amp;RDownloaded from www.ajhw.co.uk</oddHeader>
    <oddFooter>&amp;LA.J.H. Computer Services&amp;R© AJH 2016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421875" style="5" customWidth="1"/>
    <col min="3" max="3" width="2.8515625" style="6" customWidth="1"/>
    <col min="4" max="4" width="10.00390625" style="6" customWidth="1"/>
    <col min="5" max="8" width="12.8515625" style="5" customWidth="1"/>
    <col min="9" max="9" width="10.8515625" style="5" customWidth="1"/>
    <col min="10" max="11" width="10.7109375" style="5" customWidth="1"/>
    <col min="12" max="12" width="6.140625" style="5" customWidth="1"/>
    <col min="13" max="13" width="1.421875" style="6" customWidth="1"/>
    <col min="14" max="14" width="7.00390625" style="7" customWidth="1"/>
    <col min="15" max="16384" width="9.140625" style="5" customWidth="1"/>
  </cols>
  <sheetData>
    <row r="1" ht="7.5" customHeight="1" thickBot="1">
      <c r="A1" s="340"/>
    </row>
    <row r="2" spans="2:19" ht="18.75" customHeight="1">
      <c r="B2" s="403" t="s">
        <v>13</v>
      </c>
      <c r="C2" s="404"/>
      <c r="D2" s="404"/>
      <c r="E2" s="404"/>
      <c r="F2" s="404"/>
      <c r="G2" s="404"/>
      <c r="H2" s="404"/>
      <c r="I2" s="404"/>
      <c r="J2" s="394" t="s">
        <v>1</v>
      </c>
      <c r="K2" s="394"/>
      <c r="L2" s="394"/>
      <c r="M2" s="395"/>
      <c r="N2" s="8"/>
      <c r="O2" s="9"/>
      <c r="P2" s="9"/>
      <c r="Q2" s="9"/>
      <c r="R2" s="9"/>
      <c r="S2" s="9"/>
    </row>
    <row r="3" spans="2:19" ht="12.75" customHeight="1" thickBot="1">
      <c r="B3" s="405"/>
      <c r="C3" s="393"/>
      <c r="D3" s="393"/>
      <c r="E3" s="393"/>
      <c r="F3" s="393"/>
      <c r="G3" s="393"/>
      <c r="H3" s="393"/>
      <c r="I3" s="393"/>
      <c r="J3" s="396" t="s">
        <v>0</v>
      </c>
      <c r="K3" s="396"/>
      <c r="L3" s="396"/>
      <c r="M3" s="383"/>
      <c r="N3" s="8"/>
      <c r="O3" s="9"/>
      <c r="P3" s="9"/>
      <c r="Q3" s="9"/>
      <c r="R3" s="9"/>
      <c r="S3" s="9"/>
    </row>
    <row r="4" spans="2:19" ht="13.5" thickTop="1">
      <c r="B4" s="16"/>
      <c r="C4" s="17"/>
      <c r="D4" s="29"/>
      <c r="E4" s="17"/>
      <c r="F4" s="17"/>
      <c r="G4" s="17"/>
      <c r="H4" s="17"/>
      <c r="I4" s="17"/>
      <c r="J4" s="20"/>
      <c r="K4" s="20"/>
      <c r="L4" s="20"/>
      <c r="M4" s="18"/>
      <c r="O4" s="9"/>
      <c r="P4" s="9"/>
      <c r="Q4" s="9"/>
      <c r="R4" s="9"/>
      <c r="S4" s="9"/>
    </row>
    <row r="5" spans="2:19" ht="18">
      <c r="B5" s="16"/>
      <c r="C5" s="45" t="s">
        <v>50</v>
      </c>
      <c r="D5" s="29"/>
      <c r="E5" s="17"/>
      <c r="F5" s="17"/>
      <c r="G5" s="17"/>
      <c r="H5" s="17"/>
      <c r="I5" s="17"/>
      <c r="J5" s="20"/>
      <c r="K5" s="20"/>
      <c r="L5" s="20"/>
      <c r="M5" s="18"/>
      <c r="O5" s="9"/>
      <c r="P5" s="9"/>
      <c r="Q5" s="9"/>
      <c r="R5" s="9"/>
      <c r="S5" s="9"/>
    </row>
    <row r="6" spans="2:19" ht="6" customHeight="1">
      <c r="B6" s="16"/>
      <c r="C6" s="17"/>
      <c r="D6" s="29"/>
      <c r="E6" s="17"/>
      <c r="F6" s="17"/>
      <c r="G6" s="17"/>
      <c r="H6" s="17"/>
      <c r="I6" s="17"/>
      <c r="J6" s="20"/>
      <c r="K6" s="20"/>
      <c r="L6" s="20"/>
      <c r="M6" s="18"/>
      <c r="O6" s="9"/>
      <c r="P6" s="9"/>
      <c r="Q6" s="9"/>
      <c r="R6" s="9"/>
      <c r="S6" s="9"/>
    </row>
    <row r="7" spans="2:19" ht="12.75">
      <c r="B7" s="16"/>
      <c r="C7" s="425" t="s">
        <v>51</v>
      </c>
      <c r="D7" s="425"/>
      <c r="E7" s="17"/>
      <c r="F7" s="1" t="s">
        <v>53</v>
      </c>
      <c r="G7" s="1"/>
      <c r="H7" s="1" t="s">
        <v>54</v>
      </c>
      <c r="I7" s="1"/>
      <c r="J7" s="425" t="s">
        <v>52</v>
      </c>
      <c r="K7" s="425"/>
      <c r="L7" s="20"/>
      <c r="M7" s="18"/>
      <c r="O7" s="9"/>
      <c r="P7" s="9"/>
      <c r="Q7" s="9"/>
      <c r="R7" s="9"/>
      <c r="S7" s="9"/>
    </row>
    <row r="8" spans="2:19" s="11" customFormat="1" ht="15.75">
      <c r="B8" s="21"/>
      <c r="C8" s="462"/>
      <c r="D8" s="463"/>
      <c r="E8" s="22"/>
      <c r="F8" s="85">
        <f>IF(OR(C8=""),"",((C8+459.67)/9)*5)</f>
      </c>
      <c r="G8" s="46"/>
      <c r="H8" s="85">
        <f>IF(OR(C8=""),"",C8+459.67)</f>
      </c>
      <c r="I8" s="47"/>
      <c r="J8" s="430">
        <f>IF(OR(C8=""),"",((C8-32)/9)*5)</f>
      </c>
      <c r="K8" s="430"/>
      <c r="L8" s="48"/>
      <c r="M8" s="23"/>
      <c r="N8" s="12"/>
      <c r="O8" s="10"/>
      <c r="P8" s="10"/>
      <c r="Q8" s="10"/>
      <c r="R8" s="10"/>
      <c r="S8" s="10"/>
    </row>
    <row r="9" spans="2:19" ht="12.75">
      <c r="B9" s="16"/>
      <c r="C9" s="425" t="s">
        <v>56</v>
      </c>
      <c r="D9" s="425"/>
      <c r="E9" s="17"/>
      <c r="F9" s="1" t="s">
        <v>58</v>
      </c>
      <c r="G9" s="1"/>
      <c r="H9" s="1" t="s">
        <v>57</v>
      </c>
      <c r="I9" s="17"/>
      <c r="J9" s="425" t="s">
        <v>55</v>
      </c>
      <c r="K9" s="425"/>
      <c r="L9" s="20"/>
      <c r="M9" s="18"/>
      <c r="O9" s="9"/>
      <c r="P9" s="9"/>
      <c r="Q9" s="9"/>
      <c r="R9" s="9"/>
      <c r="S9" s="9"/>
    </row>
    <row r="10" spans="2:19" ht="13.5" thickBot="1">
      <c r="B10" s="31"/>
      <c r="C10" s="44"/>
      <c r="D10" s="44"/>
      <c r="E10" s="32"/>
      <c r="F10" s="44"/>
      <c r="G10" s="44"/>
      <c r="H10" s="44"/>
      <c r="I10" s="32"/>
      <c r="J10" s="44"/>
      <c r="K10" s="44"/>
      <c r="L10" s="34"/>
      <c r="M10" s="35"/>
      <c r="O10" s="9"/>
      <c r="P10" s="9"/>
      <c r="Q10" s="9"/>
      <c r="R10" s="9"/>
      <c r="S10" s="9"/>
    </row>
    <row r="11" spans="3:19" ht="12.75">
      <c r="C11" s="5"/>
      <c r="D11" s="5"/>
      <c r="J11" s="6"/>
      <c r="K11" s="13"/>
      <c r="M11" s="5"/>
      <c r="N11" s="9"/>
      <c r="O11" s="9"/>
      <c r="P11" s="9"/>
      <c r="Q11" s="9"/>
      <c r="R11" s="9"/>
      <c r="S11" s="9"/>
    </row>
    <row r="12" spans="15:19" ht="12.75">
      <c r="O12" s="9"/>
      <c r="P12" s="9"/>
      <c r="Q12" s="9"/>
      <c r="R12" s="9"/>
      <c r="S12" s="9"/>
    </row>
  </sheetData>
  <mergeCells count="9">
    <mergeCell ref="J2:M2"/>
    <mergeCell ref="J3:M3"/>
    <mergeCell ref="B2:I3"/>
    <mergeCell ref="C9:D9"/>
    <mergeCell ref="J9:K9"/>
    <mergeCell ref="J7:K7"/>
    <mergeCell ref="C8:D8"/>
    <mergeCell ref="C7:D7"/>
    <mergeCell ref="J8:K8"/>
  </mergeCells>
  <dataValidations count="1">
    <dataValidation type="decimal" allowBlank="1" showInputMessage="1" showErrorMessage="1" errorTitle="Please Re-enter" error="Numbers Only" sqref="C8:D8">
      <formula1>0.000001</formula1>
      <formula2>999999</formula2>
    </dataValidation>
  </dataValidations>
  <hyperlinks>
    <hyperlink ref="J3" r:id="rId1" display="www.ajhw.co.uk"/>
    <hyperlink ref="J2:M2" location="Introduction!A1" display="A.J.H. Computer Service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&amp;LBritish Imperial units Conversions - Temperature&amp;RDownloaded from www.ajhw.co.uk</oddHeader>
    <oddFooter>&amp;LA.J.H. Computer Services&amp;R© AJH 2016</oddFooter>
  </headerFooter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5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5" customWidth="1"/>
    <col min="2" max="2" width="9.140625" style="5" customWidth="1"/>
    <col min="3" max="3" width="2.8515625" style="5" customWidth="1"/>
    <col min="4" max="4" width="6.28125" style="5" customWidth="1"/>
    <col min="5" max="12" width="9.140625" style="5" customWidth="1"/>
    <col min="13" max="13" width="15.7109375" style="11" customWidth="1"/>
    <col min="14" max="14" width="5.7109375" style="5" customWidth="1"/>
    <col min="15" max="15" width="9.140625" style="160" hidden="1" customWidth="1"/>
    <col min="16" max="16384" width="9.140625" style="5" customWidth="1"/>
  </cols>
  <sheetData>
    <row r="1" ht="7.5" customHeight="1" thickBot="1">
      <c r="A1" s="160"/>
    </row>
    <row r="2" spans="2:14" ht="15" customHeight="1">
      <c r="B2" s="473" t="s">
        <v>213</v>
      </c>
      <c r="C2" s="474"/>
      <c r="D2" s="474"/>
      <c r="E2" s="474"/>
      <c r="F2" s="474"/>
      <c r="G2" s="474"/>
      <c r="H2" s="474"/>
      <c r="I2" s="474"/>
      <c r="J2" s="474"/>
      <c r="K2" s="466" t="s">
        <v>1</v>
      </c>
      <c r="L2" s="466"/>
      <c r="M2" s="466"/>
      <c r="N2" s="467"/>
    </row>
    <row r="3" spans="2:14" ht="5.25" customHeight="1">
      <c r="B3" s="475"/>
      <c r="C3" s="476"/>
      <c r="D3" s="476"/>
      <c r="E3" s="476"/>
      <c r="F3" s="476"/>
      <c r="G3" s="476"/>
      <c r="H3" s="476"/>
      <c r="I3" s="476"/>
      <c r="J3" s="476"/>
      <c r="K3" s="468"/>
      <c r="L3" s="468"/>
      <c r="M3" s="468"/>
      <c r="N3" s="469"/>
    </row>
    <row r="4" spans="2:14" ht="15" customHeight="1" thickBot="1">
      <c r="B4" s="477" t="s">
        <v>60</v>
      </c>
      <c r="C4" s="478"/>
      <c r="D4" s="478"/>
      <c r="E4" s="478"/>
      <c r="F4" s="478"/>
      <c r="G4" s="478" t="s">
        <v>80</v>
      </c>
      <c r="H4" s="478"/>
      <c r="I4" s="478"/>
      <c r="J4" s="478"/>
      <c r="K4" s="464" t="s">
        <v>0</v>
      </c>
      <c r="L4" s="464"/>
      <c r="M4" s="464"/>
      <c r="N4" s="465"/>
    </row>
    <row r="5" spans="2:15" ht="15.75" thickTop="1"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64"/>
      <c r="O5" s="160" t="s">
        <v>359</v>
      </c>
    </row>
    <row r="6" spans="2:15" ht="15.75">
      <c r="B6" s="165" t="s">
        <v>214</v>
      </c>
      <c r="C6" s="162"/>
      <c r="D6" s="162"/>
      <c r="E6" s="162"/>
      <c r="F6" s="162"/>
      <c r="G6" s="166" t="s">
        <v>271</v>
      </c>
      <c r="H6" s="162"/>
      <c r="I6" s="162"/>
      <c r="J6" s="162"/>
      <c r="K6" s="162"/>
      <c r="L6" s="162"/>
      <c r="M6" s="163"/>
      <c r="N6" s="164"/>
      <c r="O6" s="160" t="s">
        <v>360</v>
      </c>
    </row>
    <row r="7" spans="2:15" ht="15.75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7" t="s">
        <v>215</v>
      </c>
      <c r="M7" s="168">
        <f>IF(OR(O7&lt;0.001),"",O7)</f>
      </c>
      <c r="N7" s="164"/>
      <c r="O7" s="160">
        <f>O9*2*3.141592654</f>
        <v>0</v>
      </c>
    </row>
    <row r="8" spans="2:15" ht="15"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3"/>
      <c r="N8" s="164"/>
      <c r="O8" s="160">
        <f>F15</f>
        <v>0</v>
      </c>
    </row>
    <row r="9" spans="2:15" ht="15.75">
      <c r="B9" s="161"/>
      <c r="C9" s="162"/>
      <c r="D9" s="162"/>
      <c r="E9" s="162"/>
      <c r="F9" s="162"/>
      <c r="G9" s="162"/>
      <c r="H9" s="162"/>
      <c r="I9" s="162"/>
      <c r="J9" s="162"/>
      <c r="K9" s="162"/>
      <c r="L9" s="167" t="s">
        <v>216</v>
      </c>
      <c r="M9" s="168">
        <f>IF(OR(O10&lt;0.001),"",O10)</f>
      </c>
      <c r="N9" s="169" t="s">
        <v>217</v>
      </c>
      <c r="O9" s="160">
        <f>IF(OR(D15=2),O8,O8/2)</f>
        <v>0</v>
      </c>
    </row>
    <row r="10" spans="2:15" ht="15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  <c r="N10" s="164"/>
      <c r="O10" s="160">
        <f>3.141592654*(O9*O9)</f>
        <v>0</v>
      </c>
    </row>
    <row r="11" spans="2:15" ht="15.75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7" t="s">
        <v>218</v>
      </c>
      <c r="M11" s="168">
        <f>IF(OR(O11&lt;0.001),"",O11)</f>
      </c>
      <c r="N11" s="169" t="s">
        <v>219</v>
      </c>
      <c r="O11" s="160">
        <f>IF(OR(H15&gt;0),O10*H15,"")</f>
      </c>
    </row>
    <row r="12" spans="2:15" ht="15"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  <c r="N12" s="164"/>
      <c r="O12" s="160">
        <f>O9*2</f>
        <v>0</v>
      </c>
    </row>
    <row r="13" spans="2:14" ht="15.75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7" t="s">
        <v>220</v>
      </c>
      <c r="M13" s="170">
        <f>IF(OR(O9&lt;0.001),"",O9)</f>
      </c>
      <c r="N13" s="164"/>
    </row>
    <row r="14" spans="2:15" ht="15">
      <c r="B14" s="161"/>
      <c r="C14" s="171">
        <f>IF(OR(D15&gt;2,D15&lt;0.1),"Please enter 1 or 2","")</f>
      </c>
      <c r="D14" s="162"/>
      <c r="E14" s="162"/>
      <c r="F14" s="162"/>
      <c r="G14" s="162"/>
      <c r="H14" s="162"/>
      <c r="I14" s="162"/>
      <c r="J14" s="162"/>
      <c r="K14" s="162"/>
      <c r="L14" s="162"/>
      <c r="M14" s="163"/>
      <c r="N14" s="164"/>
      <c r="O14" s="160">
        <f>IF(OR(F15&lt;0.001),0,1)</f>
        <v>0</v>
      </c>
    </row>
    <row r="15" spans="2:15" ht="15.75">
      <c r="B15" s="479" t="s">
        <v>359</v>
      </c>
      <c r="C15" s="381"/>
      <c r="D15" s="352">
        <f>IF(OR(B15=O5),2,1)</f>
        <v>2</v>
      </c>
      <c r="E15" s="167" t="str">
        <f>IF(OR(D15=2),"Radius:","Diameter:")</f>
        <v>Radius:</v>
      </c>
      <c r="F15" s="351"/>
      <c r="G15" s="167" t="s">
        <v>221</v>
      </c>
      <c r="H15" s="351"/>
      <c r="I15" s="173"/>
      <c r="J15" s="162"/>
      <c r="K15" s="162"/>
      <c r="L15" s="167" t="s">
        <v>222</v>
      </c>
      <c r="M15" s="170">
        <f>IF(OR(O12&lt;0.001),"",O12)</f>
      </c>
      <c r="N15" s="164"/>
      <c r="O15" s="160">
        <f>IF(OR(H15&lt;0.001),0,2)</f>
        <v>0</v>
      </c>
    </row>
    <row r="16" spans="2:15" ht="13.5" thickBot="1">
      <c r="B16" s="172"/>
      <c r="C16" s="173"/>
      <c r="D16" s="173"/>
      <c r="E16" s="167"/>
      <c r="F16" s="173"/>
      <c r="G16" s="167"/>
      <c r="H16" s="173"/>
      <c r="I16" s="173"/>
      <c r="J16" s="162"/>
      <c r="K16" s="162"/>
      <c r="L16" s="167"/>
      <c r="M16" s="173"/>
      <c r="N16" s="164"/>
      <c r="O16" s="160">
        <f>SUM(O14:O15)</f>
        <v>0</v>
      </c>
    </row>
    <row r="17" spans="2:15" ht="13.5" thickTop="1">
      <c r="B17" s="172"/>
      <c r="C17" s="173"/>
      <c r="D17" s="173"/>
      <c r="E17" s="167"/>
      <c r="F17" s="173"/>
      <c r="G17" s="167"/>
      <c r="H17" s="173"/>
      <c r="I17" s="173"/>
      <c r="J17" s="225"/>
      <c r="K17" s="225"/>
      <c r="L17" s="226"/>
      <c r="M17" s="227"/>
      <c r="N17" s="228"/>
      <c r="O17" s="160">
        <f>O10*4</f>
        <v>0</v>
      </c>
    </row>
    <row r="18" spans="2:15" ht="15.75">
      <c r="B18" s="224" t="s">
        <v>270</v>
      </c>
      <c r="C18" s="173"/>
      <c r="D18" s="173"/>
      <c r="E18" s="167">
        <f>IF(OR(O16&lt;&gt;1),"","Diameter:")</f>
      </c>
      <c r="F18" s="231">
        <f>IF(OR(M15&lt;0.001),"",M15)</f>
      </c>
      <c r="G18" s="167"/>
      <c r="H18" s="173"/>
      <c r="I18" s="173"/>
      <c r="J18" s="162"/>
      <c r="K18" s="162"/>
      <c r="L18" s="167" t="s">
        <v>283</v>
      </c>
      <c r="M18" s="168">
        <f>IF(OR(O18&lt;0.001),"",O18)</f>
      </c>
      <c r="N18" s="169" t="s">
        <v>217</v>
      </c>
      <c r="O18" s="160">
        <f>IF(OR(H15&gt;0.001),"",O17)</f>
        <v>0</v>
      </c>
    </row>
    <row r="19" spans="2:15" ht="12.75">
      <c r="B19" s="172"/>
      <c r="C19" s="173"/>
      <c r="D19" s="173"/>
      <c r="E19" s="167"/>
      <c r="F19" s="173"/>
      <c r="G19" s="167"/>
      <c r="H19" s="173"/>
      <c r="I19" s="173"/>
      <c r="J19" s="162"/>
      <c r="K19" s="162"/>
      <c r="L19" s="167"/>
      <c r="M19" s="173"/>
      <c r="N19" s="164"/>
      <c r="O19" s="160">
        <f>4/3*3.141592654*(O9*O9*O9)</f>
        <v>0</v>
      </c>
    </row>
    <row r="20" spans="2:15" ht="15.75">
      <c r="B20" s="172"/>
      <c r="C20" s="173"/>
      <c r="D20" s="173"/>
      <c r="E20" s="167">
        <f>IF(OR(O16&lt;&gt;1),"","Radius:")</f>
      </c>
      <c r="F20" s="231">
        <f>IF(OR(M13&lt;0.001),"",M13)</f>
      </c>
      <c r="G20" s="167"/>
      <c r="H20" s="173"/>
      <c r="I20" s="173"/>
      <c r="J20" s="162"/>
      <c r="K20" s="162"/>
      <c r="L20" s="167" t="s">
        <v>282</v>
      </c>
      <c r="M20" s="168">
        <f>IF(OR(O20&lt;0.001),"",O20)</f>
      </c>
      <c r="N20" s="169" t="s">
        <v>219</v>
      </c>
      <c r="O20" s="160">
        <f>IF(OR(H15&gt;0.001),"",O19)</f>
        <v>0</v>
      </c>
    </row>
    <row r="21" spans="2:14" ht="13.5" thickBot="1">
      <c r="B21" s="172"/>
      <c r="C21" s="173"/>
      <c r="D21" s="173"/>
      <c r="E21" s="167"/>
      <c r="F21" s="173"/>
      <c r="G21" s="167"/>
      <c r="H21" s="173"/>
      <c r="I21" s="173"/>
      <c r="J21" s="162"/>
      <c r="K21" s="162"/>
      <c r="L21" s="167"/>
      <c r="M21" s="173"/>
      <c r="N21" s="164"/>
    </row>
    <row r="22" spans="2:15" ht="16.5" thickTop="1">
      <c r="B22" s="230" t="s">
        <v>279</v>
      </c>
      <c r="C22" s="173"/>
      <c r="D22" s="173"/>
      <c r="E22" s="167"/>
      <c r="F22" s="173"/>
      <c r="G22" s="167"/>
      <c r="H22" s="173"/>
      <c r="I22" s="173"/>
      <c r="J22" s="225"/>
      <c r="K22" s="225"/>
      <c r="L22" s="226"/>
      <c r="M22" s="227"/>
      <c r="N22" s="228"/>
      <c r="O22" s="160" t="e">
        <f>3.141592654*M13*(M13+E26)</f>
        <v>#VALUE!</v>
      </c>
    </row>
    <row r="23" spans="2:15" ht="15.75">
      <c r="B23" s="172"/>
      <c r="C23" s="173"/>
      <c r="D23" s="173"/>
      <c r="E23" s="167"/>
      <c r="F23" s="173"/>
      <c r="G23" s="167"/>
      <c r="H23" s="231" t="e">
        <f>IF(OR(O31&lt;0.001),"",O32*2)</f>
        <v>#VALUE!</v>
      </c>
      <c r="I23" s="173">
        <f>IF(OR(O16&lt;&gt;3),"",":Degrees")</f>
      </c>
      <c r="J23" s="162"/>
      <c r="K23" s="162"/>
      <c r="L23" s="167" t="s">
        <v>280</v>
      </c>
      <c r="M23" s="168">
        <f>IF(OR(O16&lt;&gt;3),"",O23)</f>
      </c>
      <c r="N23" s="169" t="s">
        <v>217</v>
      </c>
      <c r="O23" s="160">
        <f>IF(OR(H15&lt;0.001),"",O22)</f>
      </c>
    </row>
    <row r="24" spans="2:15" ht="15.75">
      <c r="B24" s="172"/>
      <c r="C24" s="173"/>
      <c r="D24" s="167">
        <f>IF(OR(O16&lt;&gt;3),"","Hight of Cone:")</f>
      </c>
      <c r="E24" s="231">
        <f>IF(OR(H15&lt;0.001),"",H15)</f>
      </c>
      <c r="F24" s="187"/>
      <c r="G24" s="187"/>
      <c r="H24" s="173">
        <f>IF(OR(O16&lt;&gt;3),"","Angle at Point")</f>
      </c>
      <c r="I24" s="173"/>
      <c r="J24" s="162"/>
      <c r="K24" s="162"/>
      <c r="L24" s="167"/>
      <c r="M24" s="173"/>
      <c r="N24" s="164"/>
      <c r="O24" s="160" t="e">
        <f>1/3*3.141592654*(M13*M13)*E24</f>
        <v>#VALUE!</v>
      </c>
    </row>
    <row r="25" spans="2:15" ht="15.75">
      <c r="B25" s="172"/>
      <c r="C25" s="173"/>
      <c r="D25" s="173"/>
      <c r="E25" s="167"/>
      <c r="F25" s="173"/>
      <c r="G25" s="167"/>
      <c r="H25" s="173"/>
      <c r="I25" s="173"/>
      <c r="J25" s="162"/>
      <c r="K25" s="162"/>
      <c r="L25" s="167" t="s">
        <v>281</v>
      </c>
      <c r="M25" s="168">
        <f>IF(OR(O16&lt;&gt;3),"",O25)</f>
      </c>
      <c r="N25" s="169" t="s">
        <v>219</v>
      </c>
      <c r="O25" s="160">
        <f>IF(OR(H15&lt;0.001),"",O24)</f>
      </c>
    </row>
    <row r="26" spans="2:14" ht="15.75">
      <c r="B26" s="172"/>
      <c r="C26" s="173"/>
      <c r="D26" s="167">
        <f>IF(OR(O16&lt;&gt;3),"","Slant Hight:")</f>
      </c>
      <c r="E26" s="231">
        <f>IF(OR(H15&lt;0.001),"",(SQRT((M13*M13)+(H15*H15))))</f>
      </c>
      <c r="F26" s="173"/>
      <c r="G26" s="167"/>
      <c r="H26" s="231" t="e">
        <f>IF(OR(O32&lt;0.001),"",O31)</f>
        <v>#VALUE!</v>
      </c>
      <c r="I26" s="173">
        <f>IF(OR(O16&lt;&gt;3),"",":Degrees")</f>
      </c>
      <c r="J26" s="162"/>
      <c r="K26" s="162"/>
      <c r="L26" s="167"/>
      <c r="M26" s="173"/>
      <c r="N26" s="164"/>
    </row>
    <row r="27" spans="2:15" ht="15.75">
      <c r="B27" s="172"/>
      <c r="C27" s="173"/>
      <c r="D27" s="173"/>
      <c r="E27" s="167"/>
      <c r="F27" s="173"/>
      <c r="G27" s="167"/>
      <c r="H27" s="173">
        <f>IF(OR(O16&lt;&gt;3),"","Angle at Base")</f>
      </c>
      <c r="I27" s="173"/>
      <c r="J27" s="162"/>
      <c r="K27" s="162"/>
      <c r="L27" s="167" t="s">
        <v>284</v>
      </c>
      <c r="M27" s="170">
        <f>IF(OR(O16&lt;&gt;3),"",O27)</f>
      </c>
      <c r="N27" s="164"/>
      <c r="O27" s="160">
        <f>IF(OR(H15&lt;0.001),"",M15)</f>
      </c>
    </row>
    <row r="28" spans="2:14" ht="15.75">
      <c r="B28" s="172"/>
      <c r="C28" s="173"/>
      <c r="D28" s="167">
        <f>IF(OR(O16&lt;&gt;3),"","Slant Angle:")</f>
      </c>
      <c r="E28" s="231">
        <f>IF(OR(H15&lt;0.001),"",O31)</f>
      </c>
      <c r="F28" s="173"/>
      <c r="G28" s="167"/>
      <c r="H28" s="173"/>
      <c r="I28" s="173"/>
      <c r="J28" s="162"/>
      <c r="K28" s="162"/>
      <c r="L28" s="167"/>
      <c r="M28" s="229"/>
      <c r="N28" s="164"/>
    </row>
    <row r="29" spans="2:14" ht="15.75">
      <c r="B29" s="172"/>
      <c r="C29" s="173"/>
      <c r="D29" s="167"/>
      <c r="E29" s="167"/>
      <c r="F29" s="173"/>
      <c r="G29" s="167"/>
      <c r="H29" s="173"/>
      <c r="I29" s="173"/>
      <c r="J29" s="162"/>
      <c r="K29" s="162"/>
      <c r="L29" s="167"/>
      <c r="M29" s="229"/>
      <c r="N29" s="164"/>
    </row>
    <row r="30" spans="2:15" ht="15.75" thickBot="1"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6"/>
      <c r="N30" s="177"/>
      <c r="O30" s="160" t="e">
        <f>IF(OR(E26&lt;0.001),0,E24/E26)</f>
        <v>#VALUE!</v>
      </c>
    </row>
    <row r="31" spans="2:15" ht="15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3"/>
      <c r="N31" s="164"/>
      <c r="O31" s="160" t="e">
        <f>DEGREES(ASIN(O30))</f>
        <v>#VALUE!</v>
      </c>
    </row>
    <row r="32" spans="2:15" ht="15.75">
      <c r="B32" s="165" t="s">
        <v>223</v>
      </c>
      <c r="C32" s="162"/>
      <c r="D32" s="162"/>
      <c r="E32" s="162"/>
      <c r="F32" s="162"/>
      <c r="G32" s="166" t="s">
        <v>272</v>
      </c>
      <c r="H32" s="162"/>
      <c r="I32" s="162"/>
      <c r="J32" s="162"/>
      <c r="K32" s="162"/>
      <c r="L32" s="162"/>
      <c r="M32" s="163"/>
      <c r="N32" s="164"/>
      <c r="O32" s="160" t="e">
        <f>90-O31</f>
        <v>#VALUE!</v>
      </c>
    </row>
    <row r="33" spans="2:15" s="11" customFormat="1" ht="15.75">
      <c r="B33" s="178"/>
      <c r="C33" s="163"/>
      <c r="D33" s="163"/>
      <c r="E33" s="163"/>
      <c r="F33" s="163"/>
      <c r="G33" s="163"/>
      <c r="H33" s="163"/>
      <c r="I33" s="163"/>
      <c r="J33" s="163"/>
      <c r="K33" s="163"/>
      <c r="L33" s="167" t="s">
        <v>224</v>
      </c>
      <c r="M33" s="168">
        <f>IF(OR(O33&lt;0.001),"",O33)</f>
      </c>
      <c r="N33" s="179"/>
      <c r="O33" s="160">
        <f>E41*1.4142</f>
        <v>0</v>
      </c>
    </row>
    <row r="34" spans="2:14" ht="15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  <c r="N34" s="164"/>
    </row>
    <row r="35" spans="2:15" ht="15.75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7" t="s">
        <v>216</v>
      </c>
      <c r="M35" s="168">
        <f>IF(OR(O35&lt;0.001),"",O35)</f>
      </c>
      <c r="N35" s="169" t="s">
        <v>217</v>
      </c>
      <c r="O35" s="160">
        <f>E41*E41</f>
        <v>0</v>
      </c>
    </row>
    <row r="36" spans="2:14" ht="15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3"/>
      <c r="N36" s="164"/>
    </row>
    <row r="37" spans="2:15" ht="15.75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7" t="s">
        <v>218</v>
      </c>
      <c r="M37" s="168">
        <f>IF(OR(O37&lt;0.001),"",O37)</f>
      </c>
      <c r="N37" s="169" t="s">
        <v>219</v>
      </c>
      <c r="O37" s="160">
        <f>E41*E41*G39</f>
        <v>0</v>
      </c>
    </row>
    <row r="38" spans="2:14" ht="15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3"/>
      <c r="N38" s="164"/>
    </row>
    <row r="39" spans="2:14" ht="15.75">
      <c r="B39" s="161"/>
      <c r="C39" s="162"/>
      <c r="D39" s="162"/>
      <c r="E39" s="162"/>
      <c r="F39" s="162"/>
      <c r="G39" s="316"/>
      <c r="H39" s="162"/>
      <c r="I39" s="162"/>
      <c r="J39" s="162"/>
      <c r="K39" s="162"/>
      <c r="L39" s="167"/>
      <c r="M39" s="229"/>
      <c r="N39" s="169"/>
    </row>
    <row r="40" spans="2:14" ht="15">
      <c r="B40" s="161"/>
      <c r="C40" s="162"/>
      <c r="D40" s="162"/>
      <c r="E40" s="162"/>
      <c r="F40" s="162"/>
      <c r="G40" s="173" t="s">
        <v>18</v>
      </c>
      <c r="H40" s="162"/>
      <c r="I40" s="162"/>
      <c r="J40" s="162"/>
      <c r="K40" s="162"/>
      <c r="L40" s="162"/>
      <c r="M40" s="163"/>
      <c r="N40" s="164"/>
    </row>
    <row r="41" spans="2:14" ht="16.5" thickBot="1">
      <c r="B41" s="161"/>
      <c r="C41" s="162"/>
      <c r="D41" s="167" t="s">
        <v>225</v>
      </c>
      <c r="E41" s="351"/>
      <c r="F41" s="162"/>
      <c r="G41" s="162"/>
      <c r="H41" s="162"/>
      <c r="I41" s="162"/>
      <c r="J41" s="173"/>
      <c r="K41" s="162"/>
      <c r="L41" s="162"/>
      <c r="M41" s="163"/>
      <c r="N41" s="164"/>
    </row>
    <row r="42" spans="2:15" ht="13.5" thickTop="1">
      <c r="B42" s="161"/>
      <c r="C42" s="162"/>
      <c r="D42" s="167"/>
      <c r="E42" s="162"/>
      <c r="F42" s="162"/>
      <c r="G42" s="162"/>
      <c r="H42" s="162"/>
      <c r="I42" s="162"/>
      <c r="J42" s="225"/>
      <c r="K42" s="225"/>
      <c r="L42" s="226"/>
      <c r="M42" s="227"/>
      <c r="N42" s="228"/>
      <c r="O42" s="160">
        <f>E41*1.7321</f>
        <v>0</v>
      </c>
    </row>
    <row r="43" spans="2:15" ht="15.75">
      <c r="B43" s="165" t="s">
        <v>278</v>
      </c>
      <c r="C43" s="162"/>
      <c r="D43" s="167"/>
      <c r="E43" s="162"/>
      <c r="F43" s="162"/>
      <c r="G43" s="162"/>
      <c r="H43" s="162"/>
      <c r="I43" s="162"/>
      <c r="J43" s="162"/>
      <c r="K43" s="162"/>
      <c r="L43" s="167" t="s">
        <v>277</v>
      </c>
      <c r="M43" s="168">
        <f>IF(OR(O43&lt;0.001),"",O43)</f>
      </c>
      <c r="N43" s="169"/>
      <c r="O43" s="160">
        <f>IF(OR(G39&gt;0.001),"",O42)</f>
        <v>0</v>
      </c>
    </row>
    <row r="44" spans="2:15" ht="15.75">
      <c r="B44" s="165"/>
      <c r="C44" s="162"/>
      <c r="D44" s="167"/>
      <c r="E44" s="162"/>
      <c r="F44" s="162"/>
      <c r="G44" s="162"/>
      <c r="H44" s="162"/>
      <c r="I44" s="162"/>
      <c r="J44" s="162"/>
      <c r="K44" s="162"/>
      <c r="L44" s="167"/>
      <c r="M44" s="173"/>
      <c r="N44" s="164"/>
      <c r="O44" s="160">
        <f>E41*E41*6</f>
        <v>0</v>
      </c>
    </row>
    <row r="45" spans="2:15" ht="15.75">
      <c r="B45" s="161"/>
      <c r="C45" s="162"/>
      <c r="D45" s="167"/>
      <c r="E45" s="162"/>
      <c r="F45" s="162"/>
      <c r="G45" s="162"/>
      <c r="H45" s="162"/>
      <c r="I45" s="162"/>
      <c r="J45" s="162"/>
      <c r="K45" s="162"/>
      <c r="L45" s="167" t="s">
        <v>275</v>
      </c>
      <c r="M45" s="168">
        <f>IF(OR(O45&lt;0.001),"",O45)</f>
      </c>
      <c r="N45" s="169" t="s">
        <v>219</v>
      </c>
      <c r="O45" s="160">
        <f>IF(OR(G39&gt;0.001),"",O44)</f>
        <v>0</v>
      </c>
    </row>
    <row r="46" spans="2:15" ht="15.75">
      <c r="B46" s="161"/>
      <c r="C46" s="162"/>
      <c r="D46" s="167"/>
      <c r="E46" s="162"/>
      <c r="F46" s="162"/>
      <c r="G46" s="162"/>
      <c r="H46" s="162"/>
      <c r="I46" s="162"/>
      <c r="J46" s="162"/>
      <c r="K46" s="162"/>
      <c r="L46" s="167"/>
      <c r="M46" s="173"/>
      <c r="N46" s="169"/>
      <c r="O46" s="160">
        <f>E41*E41*E41</f>
        <v>0</v>
      </c>
    </row>
    <row r="47" spans="2:15" ht="15.75">
      <c r="B47" s="161"/>
      <c r="C47" s="162"/>
      <c r="D47" s="167"/>
      <c r="E47" s="162"/>
      <c r="F47" s="162"/>
      <c r="G47" s="162"/>
      <c r="H47" s="162"/>
      <c r="I47" s="162"/>
      <c r="J47" s="162"/>
      <c r="K47" s="162"/>
      <c r="L47" s="167" t="s">
        <v>276</v>
      </c>
      <c r="M47" s="168">
        <f>IF(OR(O47&lt;0.001),"",O47)</f>
      </c>
      <c r="N47" s="169" t="s">
        <v>219</v>
      </c>
      <c r="O47" s="160">
        <f>IF(OR(G39&gt;0.001),"",O46)</f>
        <v>0</v>
      </c>
    </row>
    <row r="48" spans="2:14" ht="15.75" thickBot="1"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6"/>
      <c r="N48" s="177"/>
    </row>
    <row r="49" spans="2:14" ht="15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3"/>
      <c r="N49" s="164"/>
    </row>
    <row r="50" spans="2:14" ht="15.75">
      <c r="B50" s="165" t="s">
        <v>273</v>
      </c>
      <c r="C50" s="162"/>
      <c r="D50" s="162"/>
      <c r="E50" s="162"/>
      <c r="F50" s="162"/>
      <c r="G50" s="166"/>
      <c r="H50" s="166" t="s">
        <v>272</v>
      </c>
      <c r="I50" s="162"/>
      <c r="J50" s="162"/>
      <c r="K50" s="162"/>
      <c r="L50" s="162"/>
      <c r="M50" s="163"/>
      <c r="N50" s="164"/>
    </row>
    <row r="51" spans="2:15" ht="15.75"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7" t="s">
        <v>224</v>
      </c>
      <c r="M51" s="168">
        <f>IF(OR(O51&lt;0.001),"",O51)</f>
      </c>
      <c r="N51" s="164"/>
      <c r="O51" s="160">
        <f>SQRT((C54*C54)+(F57*F57))</f>
        <v>0</v>
      </c>
    </row>
    <row r="52" spans="2:14" ht="15.75"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80" t="s">
        <v>226</v>
      </c>
      <c r="M52" s="181"/>
      <c r="N52" s="164"/>
    </row>
    <row r="53" spans="2:15" ht="15.75"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7" t="s">
        <v>216</v>
      </c>
      <c r="M53" s="168">
        <f>IF(OR(O53&lt;0.001),"",O53)</f>
      </c>
      <c r="N53" s="169" t="s">
        <v>217</v>
      </c>
      <c r="O53" s="160">
        <f>C54*F57</f>
        <v>0</v>
      </c>
    </row>
    <row r="54" spans="2:14" ht="15.75">
      <c r="B54" s="161"/>
      <c r="C54" s="399"/>
      <c r="D54" s="400"/>
      <c r="E54" s="162"/>
      <c r="F54" s="162"/>
      <c r="G54" s="162"/>
      <c r="H54" s="162"/>
      <c r="I54" s="162"/>
      <c r="J54" s="162"/>
      <c r="K54" s="162"/>
      <c r="L54" s="162"/>
      <c r="M54" s="181"/>
      <c r="N54" s="164"/>
    </row>
    <row r="55" spans="2:15" ht="15.75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7" t="s">
        <v>218</v>
      </c>
      <c r="M55" s="168">
        <f>IF(OR(O55&lt;0.001),"",O55)</f>
      </c>
      <c r="N55" s="169" t="s">
        <v>219</v>
      </c>
      <c r="O55" s="160">
        <f>C54*F57*H57</f>
        <v>0</v>
      </c>
    </row>
    <row r="56" spans="2:14" ht="15"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3"/>
      <c r="N56" s="164"/>
    </row>
    <row r="57" spans="2:14" ht="15.75">
      <c r="B57" s="161"/>
      <c r="C57" s="162"/>
      <c r="D57" s="162"/>
      <c r="E57" s="162"/>
      <c r="F57" s="351"/>
      <c r="G57" s="167" t="s">
        <v>221</v>
      </c>
      <c r="H57" s="351"/>
      <c r="I57" s="162"/>
      <c r="J57" s="162"/>
      <c r="K57" s="162"/>
      <c r="L57" s="162"/>
      <c r="M57" s="163"/>
      <c r="N57" s="164"/>
    </row>
    <row r="58" spans="2:14" ht="15">
      <c r="B58" s="16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3"/>
      <c r="N58" s="164"/>
    </row>
    <row r="59" spans="2:14" ht="15.75" thickBot="1">
      <c r="B59" s="174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6"/>
      <c r="N59" s="177"/>
    </row>
    <row r="60" spans="2:14" ht="15">
      <c r="B60" s="161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3"/>
      <c r="N60" s="164"/>
    </row>
    <row r="61" spans="2:14" ht="15.75">
      <c r="B61" s="165" t="s">
        <v>227</v>
      </c>
      <c r="C61" s="162"/>
      <c r="D61" s="162"/>
      <c r="E61" s="162"/>
      <c r="F61" s="182" t="s">
        <v>228</v>
      </c>
      <c r="G61" s="162"/>
      <c r="H61" s="166" t="s">
        <v>229</v>
      </c>
      <c r="I61" s="162"/>
      <c r="J61" s="162"/>
      <c r="K61" s="162"/>
      <c r="L61" s="162"/>
      <c r="M61" s="163"/>
      <c r="N61" s="164"/>
    </row>
    <row r="62" spans="2:15" ht="15.75">
      <c r="B62" s="165"/>
      <c r="C62" s="162"/>
      <c r="D62" s="162"/>
      <c r="E62" s="162"/>
      <c r="F62" s="183">
        <f>IF(OR(O69&lt;0.001),"",O69)</f>
      </c>
      <c r="G62" s="162"/>
      <c r="H62" s="162"/>
      <c r="I62" s="162"/>
      <c r="J62" s="162"/>
      <c r="K62" s="162"/>
      <c r="L62" s="167" t="s">
        <v>230</v>
      </c>
      <c r="M62" s="168">
        <f>IF(OR(O62&lt;0.001),"",O62)</f>
      </c>
      <c r="N62" s="164"/>
      <c r="O62" s="160">
        <f>SQRT((C65*C65)+(F69*F69))</f>
        <v>0</v>
      </c>
    </row>
    <row r="63" spans="2:14" ht="15">
      <c r="B63" s="161"/>
      <c r="C63" s="162"/>
      <c r="D63" s="162"/>
      <c r="E63" s="162"/>
      <c r="F63" s="470" t="s">
        <v>231</v>
      </c>
      <c r="G63" s="162"/>
      <c r="H63" s="162"/>
      <c r="I63" s="162"/>
      <c r="J63" s="162"/>
      <c r="K63" s="162"/>
      <c r="L63" s="162"/>
      <c r="M63" s="163"/>
      <c r="N63" s="164"/>
    </row>
    <row r="64" spans="2:15" ht="15.75">
      <c r="B64" s="161"/>
      <c r="C64" s="162"/>
      <c r="D64" s="162"/>
      <c r="E64" s="162"/>
      <c r="F64" s="471"/>
      <c r="G64" s="182" t="s">
        <v>228</v>
      </c>
      <c r="H64" s="162"/>
      <c r="I64" s="162"/>
      <c r="J64" s="162"/>
      <c r="K64" s="162"/>
      <c r="L64" s="167" t="s">
        <v>216</v>
      </c>
      <c r="M64" s="168">
        <f>IF(OR(O64&lt;0.001),"",O64)</f>
      </c>
      <c r="N64" s="169" t="s">
        <v>217</v>
      </c>
      <c r="O64" s="160">
        <f>C65*F69/2</f>
        <v>0</v>
      </c>
    </row>
    <row r="65" spans="2:14" ht="15.75">
      <c r="B65" s="161"/>
      <c r="C65" s="427"/>
      <c r="D65" s="428"/>
      <c r="E65" s="162"/>
      <c r="F65" s="162"/>
      <c r="G65" s="183">
        <f>IF(OR(O69&lt;0.001),"",O71)</f>
      </c>
      <c r="H65" s="162"/>
      <c r="I65" s="162"/>
      <c r="J65" s="162"/>
      <c r="K65" s="162"/>
      <c r="L65" s="162"/>
      <c r="M65" s="163"/>
      <c r="N65" s="164"/>
    </row>
    <row r="66" spans="2:15" ht="15.75">
      <c r="B66" s="161"/>
      <c r="C66" s="472" t="s">
        <v>232</v>
      </c>
      <c r="D66" s="472"/>
      <c r="E66" s="162"/>
      <c r="F66" s="162"/>
      <c r="G66" s="162"/>
      <c r="H66" s="162"/>
      <c r="I66" s="162"/>
      <c r="J66" s="162"/>
      <c r="K66" s="162"/>
      <c r="L66" s="167" t="s">
        <v>218</v>
      </c>
      <c r="M66" s="168">
        <f>IF(OR(O66&lt;0.001),"",O66)</f>
      </c>
      <c r="N66" s="169" t="s">
        <v>219</v>
      </c>
      <c r="O66" s="160">
        <f>(C65*F69/2)*L68</f>
        <v>0</v>
      </c>
    </row>
    <row r="67" spans="2:15" ht="15"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3"/>
      <c r="N67" s="164"/>
      <c r="O67" s="160">
        <f>IF(OR(F69&lt;C65),0,1)</f>
        <v>1</v>
      </c>
    </row>
    <row r="68" spans="2:15" ht="15.75">
      <c r="B68" s="161"/>
      <c r="C68" s="481" t="s">
        <v>228</v>
      </c>
      <c r="D68" s="481"/>
      <c r="E68" s="162"/>
      <c r="F68" s="162"/>
      <c r="G68" s="162"/>
      <c r="H68" s="162"/>
      <c r="I68" s="162"/>
      <c r="J68" s="162"/>
      <c r="K68" s="162"/>
      <c r="L68" s="351"/>
      <c r="M68" s="223" t="s">
        <v>274</v>
      </c>
      <c r="N68" s="164"/>
      <c r="O68" s="160">
        <f>IF(OR(O62&lt;0.001),0,F69/O62)</f>
        <v>0</v>
      </c>
    </row>
    <row r="69" spans="2:15" ht="15.75">
      <c r="B69" s="161"/>
      <c r="C69" s="482">
        <f>IF(OR(O71=90),"",90)</f>
      </c>
      <c r="D69" s="483"/>
      <c r="E69" s="162"/>
      <c r="F69" s="351"/>
      <c r="G69" s="184">
        <f>IF(OR(O67=0)," This must be the graeter side","")</f>
      </c>
      <c r="H69" s="162"/>
      <c r="I69" s="162"/>
      <c r="J69" s="162"/>
      <c r="K69" s="162"/>
      <c r="L69" s="162"/>
      <c r="M69" s="163"/>
      <c r="N69" s="164"/>
      <c r="O69" s="185">
        <f>DEGREES(ASIN(O68))</f>
        <v>0</v>
      </c>
    </row>
    <row r="70" spans="2:15" ht="15.75">
      <c r="B70" s="161"/>
      <c r="C70" s="186"/>
      <c r="D70" s="186"/>
      <c r="E70" s="162"/>
      <c r="F70" s="182" t="s">
        <v>233</v>
      </c>
      <c r="G70" s="472"/>
      <c r="H70" s="472"/>
      <c r="I70" s="162"/>
      <c r="J70" s="162"/>
      <c r="K70" s="162"/>
      <c r="L70" s="162"/>
      <c r="M70" s="163"/>
      <c r="N70" s="164"/>
      <c r="O70" s="185"/>
    </row>
    <row r="71" spans="2:15" ht="27.75" customHeight="1" thickBot="1">
      <c r="B71" s="174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6"/>
      <c r="N71" s="177"/>
      <c r="O71" s="185">
        <f>90-O69</f>
        <v>90</v>
      </c>
    </row>
    <row r="72" spans="2:14" ht="15">
      <c r="B72" s="161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3"/>
      <c r="N72" s="164"/>
    </row>
    <row r="73" spans="2:14" ht="15.75">
      <c r="B73" s="165" t="s">
        <v>234</v>
      </c>
      <c r="C73" s="162"/>
      <c r="D73" s="162"/>
      <c r="E73" s="162"/>
      <c r="F73" s="162"/>
      <c r="G73" s="162"/>
      <c r="H73" s="166" t="s">
        <v>229</v>
      </c>
      <c r="I73" s="187"/>
      <c r="J73" s="162"/>
      <c r="K73" s="162"/>
      <c r="L73" s="162"/>
      <c r="M73" s="163"/>
      <c r="N73" s="164"/>
    </row>
    <row r="74" spans="2:15" ht="15.75">
      <c r="B74" s="484" t="s">
        <v>235</v>
      </c>
      <c r="C74" s="485"/>
      <c r="D74" s="485"/>
      <c r="E74" s="485"/>
      <c r="F74" s="162"/>
      <c r="G74" s="162"/>
      <c r="H74" s="162"/>
      <c r="I74" s="162"/>
      <c r="J74" s="162"/>
      <c r="K74" s="162"/>
      <c r="L74" s="167" t="s">
        <v>216</v>
      </c>
      <c r="M74" s="168">
        <f>IF(OR(O74&lt;0.001),"",O74)</f>
      </c>
      <c r="N74" s="169" t="s">
        <v>217</v>
      </c>
      <c r="O74" s="160">
        <f>(F82*F82)*SQRT(3)/4</f>
        <v>0</v>
      </c>
    </row>
    <row r="75" spans="2:14" ht="15">
      <c r="B75" s="484"/>
      <c r="C75" s="485"/>
      <c r="D75" s="485"/>
      <c r="E75" s="485"/>
      <c r="F75" s="162"/>
      <c r="G75" s="162"/>
      <c r="H75" s="162"/>
      <c r="I75" s="162"/>
      <c r="J75" s="162"/>
      <c r="K75" s="162"/>
      <c r="L75" s="162"/>
      <c r="M75" s="163"/>
      <c r="N75" s="164"/>
    </row>
    <row r="76" spans="2:15" ht="15.75">
      <c r="B76" s="484"/>
      <c r="C76" s="485"/>
      <c r="D76" s="485"/>
      <c r="E76" s="485"/>
      <c r="F76" s="162"/>
      <c r="G76" s="162"/>
      <c r="H76" s="162"/>
      <c r="I76" s="162"/>
      <c r="J76" s="162"/>
      <c r="K76" s="162"/>
      <c r="L76" s="167" t="s">
        <v>218</v>
      </c>
      <c r="M76" s="168">
        <f>IF(OR(O76&lt;0.001),"",O76)</f>
      </c>
      <c r="N76" s="169" t="s">
        <v>219</v>
      </c>
      <c r="O76" s="160">
        <f>O74*L80</f>
        <v>0</v>
      </c>
    </row>
    <row r="77" spans="2:14" ht="15">
      <c r="B77" s="161"/>
      <c r="C77" s="486"/>
      <c r="D77" s="486"/>
      <c r="E77" s="162"/>
      <c r="F77" s="162"/>
      <c r="G77" s="162"/>
      <c r="H77" s="162"/>
      <c r="I77" s="162"/>
      <c r="J77" s="162"/>
      <c r="K77" s="162"/>
      <c r="L77" s="162"/>
      <c r="M77" s="163"/>
      <c r="N77" s="164"/>
    </row>
    <row r="78" spans="2:14" ht="15">
      <c r="B78" s="161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3"/>
      <c r="N78" s="164"/>
    </row>
    <row r="79" spans="2:14" ht="15">
      <c r="B79" s="161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3"/>
      <c r="N79" s="164"/>
    </row>
    <row r="80" spans="2:14" ht="15.75">
      <c r="B80" s="161"/>
      <c r="C80" s="162"/>
      <c r="D80" s="162"/>
      <c r="E80" s="162"/>
      <c r="F80" s="162"/>
      <c r="G80" s="162"/>
      <c r="H80" s="162"/>
      <c r="I80" s="162"/>
      <c r="J80" s="162"/>
      <c r="K80" s="162"/>
      <c r="L80" s="329"/>
      <c r="M80" s="223" t="s">
        <v>274</v>
      </c>
      <c r="N80" s="164"/>
    </row>
    <row r="81" spans="2:14" ht="15">
      <c r="B81" s="161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3"/>
      <c r="N81" s="164"/>
    </row>
    <row r="82" spans="2:14" ht="15.75">
      <c r="B82" s="161"/>
      <c r="C82" s="162"/>
      <c r="D82" s="162"/>
      <c r="E82" s="162"/>
      <c r="F82" s="329"/>
      <c r="G82" s="162"/>
      <c r="H82" s="162"/>
      <c r="I82" s="162"/>
      <c r="J82" s="162"/>
      <c r="K82" s="162"/>
      <c r="L82" s="162"/>
      <c r="M82" s="163"/>
      <c r="N82" s="164"/>
    </row>
    <row r="83" spans="2:14" ht="15">
      <c r="B83" s="161"/>
      <c r="C83" s="162"/>
      <c r="D83" s="162"/>
      <c r="E83" s="162"/>
      <c r="F83" s="353"/>
      <c r="G83" s="162"/>
      <c r="H83" s="162"/>
      <c r="I83" s="162"/>
      <c r="J83" s="162"/>
      <c r="K83" s="162"/>
      <c r="L83" s="162"/>
      <c r="M83" s="163"/>
      <c r="N83" s="164"/>
    </row>
    <row r="84" spans="2:14" ht="15.75" thickBot="1">
      <c r="B84" s="174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6"/>
      <c r="N84" s="177"/>
    </row>
    <row r="85" spans="2:14" ht="15">
      <c r="B85" s="161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3"/>
      <c r="N85" s="164"/>
    </row>
    <row r="86" spans="2:15" ht="15.75">
      <c r="B86" s="165" t="s">
        <v>236</v>
      </c>
      <c r="C86" s="162"/>
      <c r="D86" s="162"/>
      <c r="E86" s="162"/>
      <c r="F86" s="162"/>
      <c r="G86" s="162"/>
      <c r="H86" s="166" t="s">
        <v>237</v>
      </c>
      <c r="I86" s="162"/>
      <c r="J86" s="162"/>
      <c r="K86" s="162"/>
      <c r="L86" s="162"/>
      <c r="M86" s="163"/>
      <c r="N86" s="164"/>
      <c r="O86" s="160">
        <f>C90*2/SQRT(3)</f>
        <v>0</v>
      </c>
    </row>
    <row r="87" spans="2:15" ht="15.75">
      <c r="B87" s="487" t="s">
        <v>238</v>
      </c>
      <c r="C87" s="488"/>
      <c r="D87" s="488"/>
      <c r="E87" s="162"/>
      <c r="F87" s="162"/>
      <c r="G87" s="162"/>
      <c r="H87" s="166"/>
      <c r="I87" s="162"/>
      <c r="J87" s="162"/>
      <c r="K87" s="162"/>
      <c r="L87" s="167" t="s">
        <v>224</v>
      </c>
      <c r="M87" s="168">
        <f>IF(OR(O86&lt;0.001),"",O86)</f>
      </c>
      <c r="N87" s="164"/>
      <c r="O87" s="160">
        <f>O86/2</f>
        <v>0</v>
      </c>
    </row>
    <row r="88" spans="2:14" ht="15">
      <c r="B88" s="487"/>
      <c r="C88" s="488"/>
      <c r="D88" s="488"/>
      <c r="E88" s="162"/>
      <c r="F88" s="162"/>
      <c r="G88" s="162"/>
      <c r="H88" s="162"/>
      <c r="I88" s="162"/>
      <c r="J88" s="162"/>
      <c r="K88" s="162"/>
      <c r="L88" s="162"/>
      <c r="M88" s="163"/>
      <c r="N88" s="164"/>
    </row>
    <row r="89" spans="2:15" ht="15.75">
      <c r="B89" s="161"/>
      <c r="C89" s="162"/>
      <c r="D89" s="162"/>
      <c r="E89" s="162"/>
      <c r="F89" s="162"/>
      <c r="G89" s="162"/>
      <c r="H89" s="162"/>
      <c r="I89" s="162"/>
      <c r="J89" s="162"/>
      <c r="K89" s="162"/>
      <c r="L89" s="167" t="s">
        <v>216</v>
      </c>
      <c r="M89" s="168">
        <f>IF(OR(O89&lt;0.001),"",O89)</f>
      </c>
      <c r="N89" s="169" t="s">
        <v>217</v>
      </c>
      <c r="O89" s="160">
        <f>3*SQRT(3)/2*(O87*O87)</f>
        <v>0</v>
      </c>
    </row>
    <row r="90" spans="2:14" ht="15.75">
      <c r="B90" s="161"/>
      <c r="C90" s="427"/>
      <c r="D90" s="428"/>
      <c r="E90" s="162"/>
      <c r="F90" s="162"/>
      <c r="G90" s="162"/>
      <c r="H90" s="162"/>
      <c r="I90" s="162"/>
      <c r="J90" s="162"/>
      <c r="K90" s="162"/>
      <c r="L90" s="162"/>
      <c r="M90" s="163"/>
      <c r="N90" s="164"/>
    </row>
    <row r="91" spans="2:15" ht="15.75">
      <c r="B91" s="161"/>
      <c r="C91" s="480" t="s">
        <v>239</v>
      </c>
      <c r="D91" s="480"/>
      <c r="E91" s="480"/>
      <c r="F91" s="162"/>
      <c r="G91" s="162"/>
      <c r="H91" s="162"/>
      <c r="I91" s="162"/>
      <c r="J91" s="162"/>
      <c r="K91" s="162"/>
      <c r="L91" s="167" t="s">
        <v>218</v>
      </c>
      <c r="M91" s="168">
        <f>IF(OR(O91&lt;0.001),"",O91)</f>
      </c>
      <c r="N91" s="169" t="s">
        <v>219</v>
      </c>
      <c r="O91" s="160">
        <f>O89*K92</f>
        <v>0</v>
      </c>
    </row>
    <row r="92" spans="2:14" ht="15.75">
      <c r="B92" s="161"/>
      <c r="C92" s="162"/>
      <c r="D92" s="162"/>
      <c r="E92" s="162"/>
      <c r="F92" s="162"/>
      <c r="G92" s="162"/>
      <c r="H92" s="162"/>
      <c r="I92" s="162"/>
      <c r="J92" s="162"/>
      <c r="K92" s="329"/>
      <c r="L92" s="162"/>
      <c r="M92" s="163"/>
      <c r="N92" s="164"/>
    </row>
    <row r="93" spans="2:14" ht="15">
      <c r="B93" s="161"/>
      <c r="C93" s="162"/>
      <c r="D93" s="162"/>
      <c r="E93" s="162"/>
      <c r="F93" s="162"/>
      <c r="G93" s="162"/>
      <c r="H93" s="162"/>
      <c r="I93" s="162"/>
      <c r="J93" s="162"/>
      <c r="K93" s="173" t="s">
        <v>18</v>
      </c>
      <c r="L93" s="162"/>
      <c r="M93" s="163"/>
      <c r="N93" s="164"/>
    </row>
    <row r="94" spans="2:14" ht="15.75">
      <c r="B94" s="161"/>
      <c r="C94" s="162"/>
      <c r="D94" s="162"/>
      <c r="E94" s="162"/>
      <c r="F94" s="168">
        <f>IF(OR(O87&lt;0.001),"",O87)</f>
      </c>
      <c r="G94" s="162"/>
      <c r="H94" s="162"/>
      <c r="I94" s="162"/>
      <c r="J94" s="162"/>
      <c r="K94" s="162"/>
      <c r="L94" s="162"/>
      <c r="M94" s="163"/>
      <c r="N94" s="164"/>
    </row>
    <row r="95" spans="2:14" ht="15.75" thickBo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6"/>
      <c r="N95" s="177"/>
    </row>
    <row r="96" ht="15"/>
  </sheetData>
  <mergeCells count="18">
    <mergeCell ref="C91:E91"/>
    <mergeCell ref="C68:D68"/>
    <mergeCell ref="C69:D69"/>
    <mergeCell ref="G70:H70"/>
    <mergeCell ref="B74:E76"/>
    <mergeCell ref="C77:D77"/>
    <mergeCell ref="B87:D88"/>
    <mergeCell ref="C90:D90"/>
    <mergeCell ref="C66:D66"/>
    <mergeCell ref="B2:J3"/>
    <mergeCell ref="B4:F4"/>
    <mergeCell ref="G4:J4"/>
    <mergeCell ref="B15:C15"/>
    <mergeCell ref="C54:D54"/>
    <mergeCell ref="K4:N4"/>
    <mergeCell ref="K2:N3"/>
    <mergeCell ref="F63:F64"/>
    <mergeCell ref="C65:D65"/>
  </mergeCells>
  <conditionalFormatting sqref="G57 M68 M80 K93 G40 J41 G15:G29">
    <cfRule type="expression" priority="1" dxfId="10" stopIfTrue="1">
      <formula>"C16&lt;0.001"</formula>
    </cfRule>
  </conditionalFormatting>
  <conditionalFormatting sqref="D15">
    <cfRule type="cellIs" priority="2" dxfId="11" operator="notBetween" stopIfTrue="1">
      <formula>0.1</formula>
      <formula>2</formula>
    </cfRule>
  </conditionalFormatting>
  <conditionalFormatting sqref="F69">
    <cfRule type="cellIs" priority="3" dxfId="1" operator="lessThan" stopIfTrue="1">
      <formula>$C$65</formula>
    </cfRule>
  </conditionalFormatting>
  <conditionalFormatting sqref="E24 H23 H26 E26 E28">
    <cfRule type="expression" priority="4" dxfId="12" stopIfTrue="1">
      <formula>$D$24="Hight of Cone:"</formula>
    </cfRule>
  </conditionalFormatting>
  <conditionalFormatting sqref="F18">
    <cfRule type="expression" priority="5" dxfId="12" stopIfTrue="1">
      <formula>$E$18="Diameter:"</formula>
    </cfRule>
  </conditionalFormatting>
  <conditionalFormatting sqref="F20">
    <cfRule type="expression" priority="6" dxfId="12" stopIfTrue="1">
      <formula>$E$20="Radius:"</formula>
    </cfRule>
  </conditionalFormatting>
  <conditionalFormatting sqref="C65:D65">
    <cfRule type="expression" priority="7" dxfId="1" stopIfTrue="1">
      <formula>$G$69&gt;""</formula>
    </cfRule>
  </conditionalFormatting>
  <conditionalFormatting sqref="C69:D69 F62 G65 M66 M64 M62">
    <cfRule type="expression" priority="8" dxfId="2" stopIfTrue="1">
      <formula>$G$69&gt;""</formula>
    </cfRule>
  </conditionalFormatting>
  <dataValidations count="2">
    <dataValidation type="list" allowBlank="1" showInputMessage="1" showErrorMessage="1" errorTitle="Please Re-enter" error="Enter Radius or Diameter" sqref="B15:C15">
      <formula1>$O$5:$O$6</formula1>
    </dataValidation>
    <dataValidation type="decimal" allowBlank="1" showInputMessage="1" showErrorMessage="1" errorTitle="Please Re-enter" error="Numbers Only" sqref="F15 H15 E41 G39 C54:D54 F57 H57 C65:D65 F69 L68 F82 L80 C90:D90 K92">
      <formula1>0.000001</formula1>
      <formula2>999999</formula2>
    </dataValidation>
  </dataValidations>
  <hyperlinks>
    <hyperlink ref="K2:N3" location="Introduction!A1" display="A.J.H. Computer Services"/>
  </hyperlinks>
  <printOptions horizontalCentered="1" verticalCentered="1"/>
  <pageMargins left="0.7480314960629921" right="0.7480314960629921" top="0.95" bottom="1.1" header="0.35433070866141736" footer="0.2755905511811024"/>
  <pageSetup horizontalDpi="300" verticalDpi="300" orientation="landscape" paperSize="9" r:id="rId4"/>
  <headerFooter alignWithMargins="0">
    <oddHeader>&amp;LBritish Imperial units Conversions - Shapes to Area and Volume&amp;RDownloaded from www.ajhw.co.uk</oddHeader>
    <oddFooter>&amp;LA.J.H. Computer Services&amp;R© AJH 2016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3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.421875" style="5" customWidth="1"/>
    <col min="3" max="4" width="5.28125" style="6" customWidth="1"/>
    <col min="5" max="5" width="10.57421875" style="5" customWidth="1"/>
    <col min="6" max="8" width="3.00390625" style="5" customWidth="1"/>
    <col min="9" max="9" width="11.7109375" style="5" customWidth="1"/>
    <col min="10" max="10" width="6.28125" style="5" customWidth="1"/>
    <col min="11" max="11" width="3.00390625" style="5" customWidth="1"/>
    <col min="12" max="13" width="7.00390625" style="5" customWidth="1"/>
    <col min="14" max="14" width="3.00390625" style="5" customWidth="1"/>
    <col min="15" max="15" width="12.8515625" style="5" customWidth="1"/>
    <col min="16" max="16" width="3.00390625" style="5" customWidth="1"/>
    <col min="17" max="17" width="9.421875" style="5" customWidth="1"/>
    <col min="18" max="18" width="1.421875" style="6" customWidth="1"/>
    <col min="19" max="19" width="7.00390625" style="7" hidden="1" customWidth="1"/>
    <col min="20" max="20" width="0" style="5" hidden="1" customWidth="1"/>
    <col min="21" max="21" width="7.00390625" style="7" hidden="1" customWidth="1"/>
    <col min="22" max="22" width="0" style="5" hidden="1" customWidth="1"/>
    <col min="23" max="23" width="7.00390625" style="7" hidden="1" customWidth="1"/>
    <col min="24" max="24" width="0" style="5" hidden="1" customWidth="1"/>
    <col min="25" max="16384" width="9.140625" style="5" customWidth="1"/>
  </cols>
  <sheetData>
    <row r="1" ht="7.5" customHeight="1" thickBot="1"/>
    <row r="2" spans="2:24" ht="18.75" customHeight="1">
      <c r="B2" s="500" t="s">
        <v>13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4" t="s">
        <v>1</v>
      </c>
      <c r="P2" s="504"/>
      <c r="Q2" s="504"/>
      <c r="R2" s="505"/>
      <c r="S2" s="8"/>
      <c r="T2" s="9"/>
      <c r="U2" s="8"/>
      <c r="V2" s="9"/>
      <c r="W2" s="8"/>
      <c r="X2" s="9"/>
    </row>
    <row r="3" spans="2:24" ht="12.75" customHeight="1" thickBot="1">
      <c r="B3" s="502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396" t="s">
        <v>0</v>
      </c>
      <c r="P3" s="396"/>
      <c r="Q3" s="396"/>
      <c r="R3" s="383"/>
      <c r="S3" s="8"/>
      <c r="T3" s="9"/>
      <c r="U3" s="8"/>
      <c r="V3" s="9"/>
      <c r="W3" s="8"/>
      <c r="X3" s="9"/>
    </row>
    <row r="4" spans="2:24" ht="12.75" customHeight="1" thickTop="1">
      <c r="B4" s="16"/>
      <c r="C4" s="17"/>
      <c r="D4" s="29"/>
      <c r="E4" s="17"/>
      <c r="F4" s="17"/>
      <c r="G4" s="17"/>
      <c r="H4" s="17"/>
      <c r="I4" s="241"/>
      <c r="J4" s="241"/>
      <c r="K4" s="241"/>
      <c r="L4" s="241"/>
      <c r="M4" s="241"/>
      <c r="N4" s="241"/>
      <c r="O4" s="242"/>
      <c r="P4" s="242"/>
      <c r="Q4" s="242"/>
      <c r="R4" s="243"/>
      <c r="S4" s="7">
        <f>IF(OR(H10=1),1682,0)</f>
        <v>0</v>
      </c>
      <c r="T4" s="9">
        <f>IF(OR(H10),2378,0)</f>
        <v>0</v>
      </c>
      <c r="U4" s="7">
        <f>IF(OR(F10=1),1189,0)</f>
        <v>0</v>
      </c>
      <c r="V4" s="9">
        <f>IF(OR(F10=1),1682,0)</f>
        <v>0</v>
      </c>
      <c r="W4" s="7">
        <v>0</v>
      </c>
      <c r="X4" s="9">
        <v>0</v>
      </c>
    </row>
    <row r="5" spans="2:24" ht="17.25" customHeight="1">
      <c r="B5" s="16"/>
      <c r="C5" s="45" t="s">
        <v>292</v>
      </c>
      <c r="D5" s="29"/>
      <c r="E5" s="17"/>
      <c r="F5" s="17"/>
      <c r="G5" s="17"/>
      <c r="H5" s="17"/>
      <c r="I5" s="198">
        <f>IF(OR(H7+K7+N7+P7=1),"","Please Re-Enter")</f>
      </c>
      <c r="J5" s="241"/>
      <c r="K5" s="241"/>
      <c r="L5" s="241"/>
      <c r="M5" s="241"/>
      <c r="N5" s="241"/>
      <c r="O5" s="242"/>
      <c r="P5" s="242"/>
      <c r="Q5" s="242"/>
      <c r="R5" s="243"/>
      <c r="S5" s="7">
        <f>IF(OR(D22=100),841,0)</f>
        <v>0</v>
      </c>
      <c r="T5" s="7">
        <f>IF(OR(D22=100),1189,0)</f>
        <v>0</v>
      </c>
      <c r="U5" s="7">
        <f>IF(OR(D22=200),1000,0)</f>
        <v>0</v>
      </c>
      <c r="V5" s="7">
        <f>IF(OR(D22=200),1414,0)</f>
        <v>0</v>
      </c>
      <c r="W5" s="7">
        <f>IF(OR(D22=300),917,0)</f>
        <v>0</v>
      </c>
      <c r="X5" s="7">
        <f>IF(OR(D22=300),1297,0)</f>
        <v>0</v>
      </c>
    </row>
    <row r="6" spans="2:24" ht="6" customHeight="1">
      <c r="B6" s="16"/>
      <c r="C6" s="45"/>
      <c r="D6" s="29"/>
      <c r="E6" s="17"/>
      <c r="F6" s="17"/>
      <c r="G6" s="17"/>
      <c r="H6" s="17"/>
      <c r="I6" s="241"/>
      <c r="J6" s="241"/>
      <c r="K6" s="241"/>
      <c r="L6" s="241"/>
      <c r="M6" s="241"/>
      <c r="N6" s="241"/>
      <c r="O6" s="242"/>
      <c r="P6" s="242"/>
      <c r="Q6" s="242"/>
      <c r="R6" s="243"/>
      <c r="T6" s="7"/>
      <c r="V6" s="7"/>
      <c r="X6" s="7"/>
    </row>
    <row r="7" spans="2:24" s="244" customFormat="1" ht="12.75" customHeight="1">
      <c r="B7" s="245"/>
      <c r="C7" s="69"/>
      <c r="D7" s="29"/>
      <c r="E7" s="506"/>
      <c r="F7" s="506"/>
      <c r="G7" s="506"/>
      <c r="H7" s="347">
        <f>IF(OR(I7=S24),1,0)</f>
        <v>1</v>
      </c>
      <c r="I7" s="380" t="s">
        <v>353</v>
      </c>
      <c r="J7" s="381"/>
      <c r="K7" s="347">
        <f>IF(OR(I7=S25),1,0)</f>
        <v>0</v>
      </c>
      <c r="L7" s="1"/>
      <c r="M7" s="82"/>
      <c r="N7" s="347">
        <f>IF(OR(I7=S26),1,0)</f>
        <v>0</v>
      </c>
      <c r="O7" s="246"/>
      <c r="P7" s="354">
        <f>IF(OR(I7=S27),1,0)</f>
        <v>0</v>
      </c>
      <c r="Q7" s="246"/>
      <c r="R7" s="247"/>
      <c r="S7" s="248">
        <f>IF(OR(K7=1),279.4,0)</f>
        <v>0</v>
      </c>
      <c r="T7" s="248">
        <f>IF(OR(K7=1),215.9,0)</f>
        <v>0</v>
      </c>
      <c r="U7" s="248">
        <f>IF(OR(N7=1),355.6,0)</f>
        <v>0</v>
      </c>
      <c r="V7" s="248">
        <f>IF(OR(N7=1),215.9,0)</f>
        <v>0</v>
      </c>
      <c r="W7" s="248">
        <f>IF(OR(P7=1),343,0)</f>
        <v>0</v>
      </c>
      <c r="X7" s="248">
        <f>IF(OR(P7=1),216,0)</f>
        <v>0</v>
      </c>
    </row>
    <row r="8" spans="2:24" ht="6" customHeight="1">
      <c r="B8" s="16"/>
      <c r="C8" s="17"/>
      <c r="D8" s="29"/>
      <c r="E8" s="17"/>
      <c r="F8" s="17"/>
      <c r="G8" s="17"/>
      <c r="H8" s="17"/>
      <c r="I8" s="17"/>
      <c r="J8" s="17"/>
      <c r="K8" s="17"/>
      <c r="L8" s="17"/>
      <c r="M8" s="17"/>
      <c r="N8" s="17"/>
      <c r="O8" s="20"/>
      <c r="P8" s="20"/>
      <c r="Q8" s="20"/>
      <c r="R8" s="18"/>
      <c r="T8" s="9"/>
      <c r="V8" s="9"/>
      <c r="X8" s="9"/>
    </row>
    <row r="9" spans="2:24" ht="12.75" customHeight="1">
      <c r="B9" s="16"/>
      <c r="C9" s="433" t="s">
        <v>293</v>
      </c>
      <c r="D9" s="433"/>
      <c r="E9" s="433"/>
      <c r="F9" s="433"/>
      <c r="G9" s="433"/>
      <c r="H9" s="433"/>
      <c r="I9" s="1"/>
      <c r="J9" s="17"/>
      <c r="K9" s="17"/>
      <c r="L9" s="498">
        <f>IF(OR(S22&gt;0),S22,"")</f>
      </c>
      <c r="M9" s="498"/>
      <c r="N9" s="17"/>
      <c r="O9" s="106"/>
      <c r="P9" s="106"/>
      <c r="Q9" s="106"/>
      <c r="R9" s="18"/>
      <c r="S9" s="7">
        <f>IF(OR(D22=101),594,0)</f>
        <v>0</v>
      </c>
      <c r="T9" s="7">
        <f>IF(OR(D22=101),841,0)</f>
        <v>0</v>
      </c>
      <c r="U9" s="7">
        <f>IF(OR(D22=201),707,0)</f>
        <v>0</v>
      </c>
      <c r="V9" s="7">
        <f>IF(OR(D22=201),1000,0)</f>
        <v>0</v>
      </c>
      <c r="W9" s="7">
        <f>IF(OR(D22=301),648,0)</f>
        <v>0</v>
      </c>
      <c r="X9" s="7">
        <f>IF(OR(D22=301),917,0)</f>
        <v>0</v>
      </c>
    </row>
    <row r="10" spans="2:24" s="11" customFormat="1" ht="15">
      <c r="B10" s="21"/>
      <c r="C10" s="355"/>
      <c r="D10" s="356"/>
      <c r="E10" s="82"/>
      <c r="F10" s="347">
        <f>IF(OR(C10=U27),1,0)</f>
        <v>0</v>
      </c>
      <c r="G10" s="22"/>
      <c r="H10" s="347">
        <f>IF(OR(C10=U28),1,0)</f>
        <v>0</v>
      </c>
      <c r="I10" s="20"/>
      <c r="J10" s="17"/>
      <c r="K10" s="17"/>
      <c r="L10" s="489" t="s">
        <v>44</v>
      </c>
      <c r="M10" s="489"/>
      <c r="N10" s="17"/>
      <c r="O10" s="106"/>
      <c r="P10" s="106"/>
      <c r="Q10" s="106"/>
      <c r="R10" s="18"/>
      <c r="S10" s="12">
        <f>IF(OR(D22=102),420,0)</f>
        <v>0</v>
      </c>
      <c r="T10" s="10">
        <f>IF(OR(D22=102),594,0)</f>
        <v>0</v>
      </c>
      <c r="U10" s="12">
        <f>IF(OR(D22=202),500,0)</f>
        <v>0</v>
      </c>
      <c r="V10" s="10">
        <f>IF(OR(D22=202),707,0)</f>
        <v>0</v>
      </c>
      <c r="W10" s="12">
        <f>IF(OR(D22=302),458,0)</f>
        <v>0</v>
      </c>
      <c r="X10" s="10">
        <f>IF(OR(D22=302),648,0)</f>
        <v>0</v>
      </c>
    </row>
    <row r="11" spans="2:24" ht="12.75" customHeight="1">
      <c r="B11" s="16"/>
      <c r="C11" s="499"/>
      <c r="D11" s="499"/>
      <c r="E11" s="499"/>
      <c r="F11" s="106">
        <f>IF(OR(F10+H10+K7+N7+P7&lt;1.1),"","Please Re-Enter")</f>
      </c>
      <c r="G11" s="348"/>
      <c r="H11" s="348"/>
      <c r="I11" s="349"/>
      <c r="J11" s="345"/>
      <c r="K11" s="17"/>
      <c r="L11" s="490">
        <f>IF(OR(S22&gt;0),S22/25.4,"")</f>
      </c>
      <c r="M11" s="490"/>
      <c r="N11" s="17"/>
      <c r="O11" s="106"/>
      <c r="P11" s="198"/>
      <c r="Q11" s="344"/>
      <c r="R11" s="23"/>
      <c r="S11" s="7">
        <f>IF(OR(D22=103),297,0)</f>
        <v>0</v>
      </c>
      <c r="T11" s="9">
        <f>IF(OR(D22=103),420,0)</f>
        <v>0</v>
      </c>
      <c r="U11" s="7">
        <f>IF(OR(D22=203),353,0)</f>
        <v>0</v>
      </c>
      <c r="V11" s="9">
        <f>IF(OR(D22=203),500,0)</f>
        <v>0</v>
      </c>
      <c r="W11" s="7">
        <f>IF(OR(D22=303),324,0)</f>
        <v>0</v>
      </c>
      <c r="X11" s="9">
        <f>IF(OR(D22=303),458,0)</f>
        <v>0</v>
      </c>
    </row>
    <row r="12" spans="2:24" ht="15.75">
      <c r="B12" s="252"/>
      <c r="C12" s="345">
        <f>IF(OR(C10="A"),0,1)</f>
        <v>1</v>
      </c>
      <c r="D12" s="345">
        <f>IF(OR(D10&gt;10),0,1)</f>
        <v>1</v>
      </c>
      <c r="E12" s="345"/>
      <c r="F12" s="345"/>
      <c r="G12" s="345"/>
      <c r="H12" s="345">
        <f>(K7+N7+P7+I12+F10+H10)*100</f>
        <v>0</v>
      </c>
      <c r="I12" s="347">
        <f>IF(OR(H7+K7+N7+P7+F10+H10=0),1,0)</f>
        <v>0</v>
      </c>
      <c r="J12" s="347"/>
      <c r="K12" s="1"/>
      <c r="L12" s="494" t="s">
        <v>22</v>
      </c>
      <c r="M12" s="494"/>
      <c r="N12" s="1"/>
      <c r="O12" s="198"/>
      <c r="P12" s="235"/>
      <c r="Q12" s="106"/>
      <c r="R12" s="18"/>
      <c r="S12" s="7">
        <f>IF(OR(D22=104),210,0)</f>
        <v>0</v>
      </c>
      <c r="T12" s="9">
        <f>IF(OR(D22=104),297,0)</f>
        <v>0</v>
      </c>
      <c r="U12" s="7">
        <f>IF(OR(D22=204),250,0)</f>
        <v>0</v>
      </c>
      <c r="V12" s="9">
        <f>IF(OR(D22=204),353,0)</f>
        <v>0</v>
      </c>
      <c r="W12" s="7">
        <f>IF(OR(D22=304),229,0)</f>
        <v>0</v>
      </c>
      <c r="X12" s="9">
        <f>IF(OR(D22=304),324,0)</f>
        <v>0</v>
      </c>
    </row>
    <row r="13" spans="2:24" ht="15.75">
      <c r="B13" s="252"/>
      <c r="C13" s="345">
        <f>IF(OR(C10="B"),0,1)</f>
        <v>1</v>
      </c>
      <c r="D13" s="345">
        <f>IF(OR(D10&lt;0),0,1)</f>
        <v>1</v>
      </c>
      <c r="E13" s="345"/>
      <c r="F13" s="345"/>
      <c r="G13" s="345"/>
      <c r="H13" s="345"/>
      <c r="I13" s="347"/>
      <c r="J13" s="350"/>
      <c r="K13" s="253"/>
      <c r="L13" s="254"/>
      <c r="M13" s="254"/>
      <c r="N13" s="255"/>
      <c r="O13" s="350"/>
      <c r="P13" s="347"/>
      <c r="Q13" s="348">
        <f>IF(OR(I5="Please Re-Enter"),0,1)</f>
        <v>1</v>
      </c>
      <c r="R13" s="18"/>
      <c r="S13" s="7">
        <f>IF(OR(D22=105),148,0)</f>
        <v>0</v>
      </c>
      <c r="T13" s="9">
        <f>IF(OR(D22=105),210,0)</f>
        <v>0</v>
      </c>
      <c r="U13" s="7">
        <f>IF(OR(D22=205),176,0)</f>
        <v>0</v>
      </c>
      <c r="V13" s="9">
        <f>IF(OR(D22=205),250,0)</f>
        <v>0</v>
      </c>
      <c r="W13" s="7">
        <f>IF(OR(D22=305),162,0)</f>
        <v>0</v>
      </c>
      <c r="X13" s="9">
        <f>IF(OR(D22=305),229,0)</f>
        <v>0</v>
      </c>
    </row>
    <row r="14" spans="2:24" ht="12.75">
      <c r="B14" s="252"/>
      <c r="C14" s="345">
        <f>IF(OR(C10="C"),0,1)</f>
        <v>1</v>
      </c>
      <c r="D14" s="345">
        <v>0</v>
      </c>
      <c r="E14" s="345"/>
      <c r="F14" s="345"/>
      <c r="G14" s="345"/>
      <c r="H14" s="345"/>
      <c r="I14" s="347"/>
      <c r="J14" s="347"/>
      <c r="K14" s="256"/>
      <c r="L14" s="497">
        <f>IF(OR(Q16=3),"","ERROR")</f>
      </c>
      <c r="M14" s="497"/>
      <c r="N14" s="258"/>
      <c r="O14" s="347"/>
      <c r="P14" s="347"/>
      <c r="Q14" s="348">
        <f>IF(OR(F11="Please Re-Enter"),0,1)</f>
        <v>1</v>
      </c>
      <c r="R14" s="18"/>
      <c r="S14" s="7">
        <f>IF(OR(D22=106),105,0)</f>
        <v>0</v>
      </c>
      <c r="T14" s="9">
        <f>IF(OR(D22=106),148,0)</f>
        <v>0</v>
      </c>
      <c r="U14" s="7">
        <f>IF(OR(D22=206),125,0)</f>
        <v>0</v>
      </c>
      <c r="V14" s="9">
        <f>IF(OR(D22=206),176,0)</f>
        <v>0</v>
      </c>
      <c r="W14" s="7">
        <f>IF(OR(D22=306),114,0)</f>
        <v>0</v>
      </c>
      <c r="X14" s="9">
        <f>IF(OR(D22=306),162,0)</f>
        <v>0</v>
      </c>
    </row>
    <row r="15" spans="2:24" ht="12.75">
      <c r="B15" s="252"/>
      <c r="C15" s="345">
        <f>IF(OR(I7=S24),C16,3)</f>
        <v>3</v>
      </c>
      <c r="D15" s="345">
        <f>SUM(D12:D14)</f>
        <v>2</v>
      </c>
      <c r="E15" s="346">
        <f>C15+D15-H12</f>
        <v>5</v>
      </c>
      <c r="F15" s="346"/>
      <c r="G15" s="346"/>
      <c r="H15" s="346">
        <f>IF(OR(E15=4),D10,"")</f>
      </c>
      <c r="I15" s="347"/>
      <c r="J15" s="347"/>
      <c r="K15" s="256"/>
      <c r="L15" s="257"/>
      <c r="M15" s="257"/>
      <c r="N15" s="258"/>
      <c r="O15" s="347">
        <f>(H7*2)+(K7*2)+(N7*2)+(P7*2)</f>
        <v>2</v>
      </c>
      <c r="P15" s="347">
        <f>IF(OR(F10+H10&gt;0.1),0,2)</f>
        <v>2</v>
      </c>
      <c r="Q15" s="348">
        <f>IF(OR(C11="Please Re-Enter"),0,1)</f>
        <v>1</v>
      </c>
      <c r="R15" s="18"/>
      <c r="S15" s="7">
        <f>IF(OR(D22=107),74,0)</f>
        <v>0</v>
      </c>
      <c r="T15" s="9">
        <f>IF(OR(D22=107),105,0)</f>
        <v>0</v>
      </c>
      <c r="U15" s="7">
        <f>IF(OR(D22=207),88,0)</f>
        <v>0</v>
      </c>
      <c r="V15" s="9">
        <f>IF(OR(D22=207),125,0)</f>
        <v>0</v>
      </c>
      <c r="W15" s="7">
        <f>IF(OR(D22=307),81,0)</f>
        <v>0</v>
      </c>
      <c r="X15" s="9">
        <f>IF(OR(D22=307),114,0)</f>
        <v>0</v>
      </c>
    </row>
    <row r="16" spans="2:24" ht="12.75">
      <c r="B16" s="252"/>
      <c r="C16" s="345">
        <f>C12+C13+C14</f>
        <v>3</v>
      </c>
      <c r="D16" s="347"/>
      <c r="E16" s="346">
        <f>IF(OR(C10=0),99,0)</f>
        <v>99</v>
      </c>
      <c r="F16" s="345"/>
      <c r="G16" s="345"/>
      <c r="H16" s="345"/>
      <c r="I16" s="347"/>
      <c r="J16" s="347"/>
      <c r="K16" s="256"/>
      <c r="L16" s="491">
        <f>IF(OR(O16=1),"LETTER","")</f>
      </c>
      <c r="M16" s="491"/>
      <c r="N16" s="258"/>
      <c r="O16" s="347">
        <f>IF(OR(K7+O15=3),1,0)</f>
        <v>0</v>
      </c>
      <c r="P16" s="347"/>
      <c r="Q16" s="348">
        <f>SUM(Q13:Q15)</f>
        <v>3</v>
      </c>
      <c r="R16" s="18"/>
      <c r="S16" s="7">
        <f>IF(OR(D22=108),52,0)</f>
        <v>0</v>
      </c>
      <c r="T16" s="9">
        <f>IF(OR(D22=108),74,0)</f>
        <v>0</v>
      </c>
      <c r="U16" s="7">
        <f>IF(OR(D22=208),62,0)</f>
        <v>0</v>
      </c>
      <c r="V16" s="9">
        <f>IF(OR(D22=208),88,0)</f>
        <v>0</v>
      </c>
      <c r="W16" s="7">
        <f>IF(OR(D22=308),57,0)</f>
        <v>0</v>
      </c>
      <c r="X16" s="9">
        <f>IF(OR(D22=308),81,0)</f>
        <v>0</v>
      </c>
    </row>
    <row r="17" spans="2:24" ht="12.75">
      <c r="B17" s="252"/>
      <c r="C17" s="345">
        <f>UPPER(C10)</f>
      </c>
      <c r="D17" s="347"/>
      <c r="E17" s="346">
        <f>IF(OR(E15+E16&gt;100),-100,0)</f>
        <v>-100</v>
      </c>
      <c r="F17" s="345"/>
      <c r="G17" s="345"/>
      <c r="H17" s="259"/>
      <c r="I17" s="249">
        <f>IF(OR(T22&gt;0),T22,"")</f>
      </c>
      <c r="J17" s="1"/>
      <c r="K17" s="256"/>
      <c r="L17" s="491">
        <f>IF(OR(O17=1),"LEGAL","")</f>
      </c>
      <c r="M17" s="491"/>
      <c r="N17" s="258"/>
      <c r="O17" s="347">
        <f>IF(OR(N7+O15=3),1,0)</f>
        <v>0</v>
      </c>
      <c r="P17" s="347"/>
      <c r="Q17" s="348"/>
      <c r="R17" s="18"/>
      <c r="S17" s="7">
        <f>IF(OR(D22=109),37,0)</f>
        <v>0</v>
      </c>
      <c r="T17" s="9">
        <f>IF(OR(D22=109),52,0)</f>
        <v>0</v>
      </c>
      <c r="U17" s="7">
        <f>IF(OR(D22=209),44,0)</f>
        <v>0</v>
      </c>
      <c r="V17" s="9">
        <f>IF(OR(D22=209),62,0)</f>
        <v>0</v>
      </c>
      <c r="W17" s="7">
        <f>IF(OR(D22=309),40,0)</f>
        <v>0</v>
      </c>
      <c r="X17" s="9">
        <f>IF(OR(D22=309),57,0)</f>
        <v>0</v>
      </c>
    </row>
    <row r="18" spans="2:24" ht="12.75" customHeight="1">
      <c r="B18" s="252"/>
      <c r="C18" s="345"/>
      <c r="D18" s="347"/>
      <c r="E18" s="346">
        <f>SUM(E15:E17)</f>
        <v>4</v>
      </c>
      <c r="F18" s="345"/>
      <c r="G18" s="345"/>
      <c r="H18" s="259"/>
      <c r="I18" s="250" t="s">
        <v>44</v>
      </c>
      <c r="J18" s="1"/>
      <c r="K18" s="261"/>
      <c r="L18" s="495">
        <f>IF(OR(E15=4),C17,"")</f>
      </c>
      <c r="M18" s="496">
        <f>IF(OR(E15+H12=4),H15,"")</f>
      </c>
      <c r="N18" s="262"/>
      <c r="O18" s="347">
        <f>SUM(O15:O17)</f>
        <v>2</v>
      </c>
      <c r="P18" s="347"/>
      <c r="Q18" s="348"/>
      <c r="R18" s="18"/>
      <c r="S18" s="7">
        <f>IF(OR(D22=110),26,0)</f>
        <v>0</v>
      </c>
      <c r="T18" s="9">
        <f>IF(OR(D22=110),37,0)</f>
        <v>0</v>
      </c>
      <c r="U18" s="7">
        <f>IF(OR(D22=210),31,0)</f>
        <v>0</v>
      </c>
      <c r="V18" s="9">
        <f>IF(OR(D22=210),44,0)</f>
        <v>0</v>
      </c>
      <c r="W18" s="7">
        <f>IF(OR(D22=310),28,0)</f>
        <v>0</v>
      </c>
      <c r="X18" s="9">
        <f>IF(OR(D22=310),40,0)</f>
        <v>0</v>
      </c>
    </row>
    <row r="19" spans="2:24" ht="12.75" customHeight="1">
      <c r="B19" s="252"/>
      <c r="C19" s="345">
        <f>IF(OR(L18="A"),100,0)</f>
        <v>0</v>
      </c>
      <c r="D19" s="347"/>
      <c r="E19" s="345"/>
      <c r="F19" s="345"/>
      <c r="G19" s="345"/>
      <c r="H19" s="259"/>
      <c r="I19" s="1"/>
      <c r="J19" s="1"/>
      <c r="K19" s="261"/>
      <c r="L19" s="495"/>
      <c r="M19" s="496"/>
      <c r="N19" s="262"/>
      <c r="O19" s="347">
        <f>O18+F10+H10</f>
        <v>2</v>
      </c>
      <c r="P19" s="347"/>
      <c r="Q19" s="348"/>
      <c r="R19" s="18"/>
      <c r="S19" s="7">
        <f aca="true" t="shared" si="0" ref="S19:X19">SUM(S4:S18)</f>
        <v>0</v>
      </c>
      <c r="T19" s="9">
        <f t="shared" si="0"/>
        <v>0</v>
      </c>
      <c r="U19" s="7">
        <f t="shared" si="0"/>
        <v>0</v>
      </c>
      <c r="V19" s="9">
        <f t="shared" si="0"/>
        <v>0</v>
      </c>
      <c r="W19" s="7">
        <f t="shared" si="0"/>
        <v>0</v>
      </c>
      <c r="X19" s="9">
        <f t="shared" si="0"/>
        <v>0</v>
      </c>
    </row>
    <row r="20" spans="2:24" ht="12.75">
      <c r="B20" s="252"/>
      <c r="C20" s="345">
        <f>IF(OR(L18="B"),200,0)</f>
        <v>0</v>
      </c>
      <c r="D20" s="347"/>
      <c r="E20" s="345"/>
      <c r="F20" s="345"/>
      <c r="G20" s="345"/>
      <c r="H20" s="259"/>
      <c r="I20" s="251">
        <f>IF(OR(T22&gt;0),T22/25.4,"")</f>
      </c>
      <c r="J20" s="1"/>
      <c r="K20" s="256"/>
      <c r="L20" s="491">
        <f>IF(OR(O20=1),"FOOLSCAP","")</f>
      </c>
      <c r="M20" s="491"/>
      <c r="N20" s="258"/>
      <c r="O20" s="347">
        <f>IF(OR(P7+O15=3),1,0)</f>
        <v>0</v>
      </c>
      <c r="P20" s="347"/>
      <c r="Q20" s="348"/>
      <c r="R20" s="18"/>
      <c r="T20" s="9"/>
      <c r="V20" s="9"/>
      <c r="X20" s="9"/>
    </row>
    <row r="21" spans="2:24" ht="15.75">
      <c r="B21" s="252"/>
      <c r="C21" s="345">
        <f>IF(OR(L18="C"),300,0)</f>
        <v>0</v>
      </c>
      <c r="D21" s="347"/>
      <c r="E21" s="345"/>
      <c r="F21" s="345"/>
      <c r="G21" s="345"/>
      <c r="H21" s="259"/>
      <c r="I21" s="1" t="s">
        <v>22</v>
      </c>
      <c r="J21" s="1"/>
      <c r="K21" s="256"/>
      <c r="L21" s="492">
        <f>IF(OR(O21=1),"4A0","")</f>
      </c>
      <c r="M21" s="492"/>
      <c r="N21" s="258"/>
      <c r="O21" s="347">
        <f>IF(OR(F10+O19+P15=3),1,0)</f>
        <v>0</v>
      </c>
      <c r="P21" s="347"/>
      <c r="Q21" s="348"/>
      <c r="R21" s="18"/>
      <c r="T21" s="9"/>
      <c r="V21" s="9"/>
      <c r="X21" s="9"/>
    </row>
    <row r="22" spans="2:24" ht="15.75">
      <c r="B22" s="252"/>
      <c r="C22" s="345">
        <f>SUM(C19:C21)</f>
        <v>0</v>
      </c>
      <c r="D22" s="347">
        <f>IF(OR(E15=4),M18+C22,0)</f>
        <v>0</v>
      </c>
      <c r="E22" s="345"/>
      <c r="F22" s="345"/>
      <c r="G22" s="345"/>
      <c r="H22" s="259"/>
      <c r="I22" s="1"/>
      <c r="J22" s="1"/>
      <c r="K22" s="256"/>
      <c r="L22" s="492">
        <f>IF(OR(O22=1),"2A0","")</f>
      </c>
      <c r="M22" s="492"/>
      <c r="N22" s="258"/>
      <c r="O22" s="347">
        <f>IF(OR(H10+O19+P15=3),1,0)</f>
        <v>0</v>
      </c>
      <c r="P22" s="347"/>
      <c r="Q22" s="348"/>
      <c r="R22" s="18"/>
      <c r="S22" s="7">
        <f>S19+U19+W19</f>
        <v>0</v>
      </c>
      <c r="T22" s="9">
        <f>T19+V19+X19</f>
        <v>0</v>
      </c>
      <c r="V22" s="9"/>
      <c r="X22" s="9"/>
    </row>
    <row r="23" spans="2:24" ht="12.75">
      <c r="B23" s="16"/>
      <c r="C23" s="345"/>
      <c r="D23" s="347"/>
      <c r="E23" s="345"/>
      <c r="F23" s="345"/>
      <c r="G23" s="345"/>
      <c r="H23" s="259"/>
      <c r="I23" s="1"/>
      <c r="J23" s="1"/>
      <c r="K23" s="256"/>
      <c r="L23" s="257"/>
      <c r="M23" s="257"/>
      <c r="N23" s="258"/>
      <c r="O23" s="263" t="s">
        <v>294</v>
      </c>
      <c r="P23" s="493">
        <f>IF(OR(S22&gt;0),L9*I17,"")</f>
      </c>
      <c r="Q23" s="493"/>
      <c r="R23" s="18"/>
      <c r="T23" s="9"/>
      <c r="V23" s="9"/>
      <c r="X23" s="9"/>
    </row>
    <row r="24" spans="2:24" ht="12.75">
      <c r="B24" s="16"/>
      <c r="C24" s="347"/>
      <c r="D24" s="347">
        <f>IF(OR(T22&gt;0),"X","")</f>
      </c>
      <c r="E24" s="345"/>
      <c r="F24" s="345"/>
      <c r="G24" s="345"/>
      <c r="H24" s="259"/>
      <c r="I24" s="1"/>
      <c r="J24" s="1"/>
      <c r="K24" s="239"/>
      <c r="L24" s="239"/>
      <c r="M24" s="239"/>
      <c r="N24" s="264"/>
      <c r="O24" s="1"/>
      <c r="P24" s="489" t="s">
        <v>295</v>
      </c>
      <c r="Q24" s="489"/>
      <c r="R24" s="265"/>
      <c r="S24" s="7" t="s">
        <v>353</v>
      </c>
      <c r="T24" s="9"/>
      <c r="U24" s="7" t="s">
        <v>328</v>
      </c>
      <c r="V24" s="9">
        <v>0</v>
      </c>
      <c r="X24" s="9"/>
    </row>
    <row r="25" spans="2:24" ht="12.75">
      <c r="B25" s="16"/>
      <c r="C25" s="1"/>
      <c r="D25" s="1"/>
      <c r="E25" s="266">
        <f>IF(OR(T22&gt;0),T22/25.4,"")</f>
      </c>
      <c r="F25" s="266"/>
      <c r="G25" s="266"/>
      <c r="H25" s="267">
        <f>D24</f>
      </c>
      <c r="I25" s="268">
        <f>IF(OR(S22&gt;0),S22/25.4,"")</f>
      </c>
      <c r="J25" s="1"/>
      <c r="K25" s="1"/>
      <c r="L25" s="1"/>
      <c r="M25" s="1"/>
      <c r="N25" s="55"/>
      <c r="O25" s="1"/>
      <c r="P25" s="425"/>
      <c r="Q25" s="425"/>
      <c r="R25" s="240"/>
      <c r="S25" s="7" t="s">
        <v>354</v>
      </c>
      <c r="T25" s="9"/>
      <c r="U25" s="7" t="s">
        <v>330</v>
      </c>
      <c r="V25" s="9">
        <f>V24+1</f>
        <v>1</v>
      </c>
      <c r="X25" s="9"/>
    </row>
    <row r="26" spans="2:24" ht="12.75">
      <c r="B26" s="16"/>
      <c r="C26" s="1"/>
      <c r="D26" s="1"/>
      <c r="E26" s="425" t="s">
        <v>296</v>
      </c>
      <c r="F26" s="425"/>
      <c r="G26" s="425"/>
      <c r="H26" s="425"/>
      <c r="I26" s="425"/>
      <c r="J26" s="1"/>
      <c r="K26" s="1"/>
      <c r="L26" s="1"/>
      <c r="M26" s="1"/>
      <c r="N26" s="17"/>
      <c r="O26" s="82" t="s">
        <v>294</v>
      </c>
      <c r="P26" s="490">
        <f>IF(OR(S22&gt;0),(L9*I17)/645.16,"")</f>
      </c>
      <c r="Q26" s="490"/>
      <c r="R26" s="18"/>
      <c r="S26" s="7" t="s">
        <v>355</v>
      </c>
      <c r="T26" s="9"/>
      <c r="U26" s="7" t="s">
        <v>329</v>
      </c>
      <c r="V26" s="9">
        <f aca="true" t="shared" si="1" ref="V26:V34">V25+1</f>
        <v>2</v>
      </c>
      <c r="X26" s="9"/>
    </row>
    <row r="27" spans="2:24" ht="12.75"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7"/>
      <c r="O27" s="1"/>
      <c r="P27" s="425" t="s">
        <v>297</v>
      </c>
      <c r="Q27" s="425"/>
      <c r="R27" s="18"/>
      <c r="S27" s="7" t="s">
        <v>356</v>
      </c>
      <c r="T27" s="9"/>
      <c r="U27" s="7" t="s">
        <v>357</v>
      </c>
      <c r="V27" s="9">
        <f t="shared" si="1"/>
        <v>3</v>
      </c>
      <c r="X27" s="9"/>
    </row>
    <row r="28" spans="2:24" ht="18">
      <c r="B28" s="16"/>
      <c r="C28" s="1"/>
      <c r="D28" s="1"/>
      <c r="E28" s="269" t="s">
        <v>298</v>
      </c>
      <c r="F28" s="269"/>
      <c r="G28" s="269"/>
      <c r="H28" s="17"/>
      <c r="I28" s="1"/>
      <c r="J28" s="1"/>
      <c r="K28" s="1"/>
      <c r="L28" s="1"/>
      <c r="M28" s="1"/>
      <c r="N28" s="17"/>
      <c r="O28" s="1"/>
      <c r="P28" s="1"/>
      <c r="Q28" s="20"/>
      <c r="R28" s="18"/>
      <c r="T28" s="9"/>
      <c r="U28" s="7" t="s">
        <v>358</v>
      </c>
      <c r="V28" s="9">
        <f t="shared" si="1"/>
        <v>4</v>
      </c>
      <c r="X28" s="9"/>
    </row>
    <row r="29" spans="2:24" ht="12.75">
      <c r="B29" s="16"/>
      <c r="C29" s="1"/>
      <c r="D29" s="1"/>
      <c r="E29" s="270" t="s">
        <v>299</v>
      </c>
      <c r="F29" s="270"/>
      <c r="G29" s="270"/>
      <c r="H29" s="17"/>
      <c r="I29" s="1"/>
      <c r="J29" s="1"/>
      <c r="K29" s="1"/>
      <c r="L29" s="1"/>
      <c r="M29" s="1"/>
      <c r="N29" s="17"/>
      <c r="O29" s="1"/>
      <c r="P29" s="1"/>
      <c r="Q29" s="20"/>
      <c r="R29" s="18"/>
      <c r="T29" s="9"/>
      <c r="V29" s="9">
        <f t="shared" si="1"/>
        <v>5</v>
      </c>
      <c r="X29" s="9"/>
    </row>
    <row r="30" spans="2:24" ht="12.75">
      <c r="B30" s="16"/>
      <c r="C30" s="1"/>
      <c r="D30" s="1"/>
      <c r="E30" s="270" t="s">
        <v>300</v>
      </c>
      <c r="F30" s="270"/>
      <c r="G30" s="270"/>
      <c r="H30" s="17"/>
      <c r="I30" s="1"/>
      <c r="J30" s="1"/>
      <c r="K30" s="1"/>
      <c r="L30" s="1"/>
      <c r="M30" s="1"/>
      <c r="N30" s="17"/>
      <c r="O30" s="1"/>
      <c r="P30" s="1"/>
      <c r="Q30" s="20"/>
      <c r="R30" s="18"/>
      <c r="T30" s="9"/>
      <c r="V30" s="9">
        <f t="shared" si="1"/>
        <v>6</v>
      </c>
      <c r="X30" s="9"/>
    </row>
    <row r="31" spans="2:24" ht="12.75">
      <c r="B31" s="16"/>
      <c r="C31" s="1"/>
      <c r="D31" s="1"/>
      <c r="E31" s="270" t="s">
        <v>301</v>
      </c>
      <c r="F31" s="270"/>
      <c r="G31" s="270"/>
      <c r="H31" s="17"/>
      <c r="I31" s="1"/>
      <c r="J31" s="1"/>
      <c r="K31" s="1"/>
      <c r="L31" s="1"/>
      <c r="M31" s="1"/>
      <c r="N31" s="17"/>
      <c r="O31" s="1"/>
      <c r="P31" s="1"/>
      <c r="Q31" s="20"/>
      <c r="R31" s="18"/>
      <c r="T31" s="9"/>
      <c r="V31" s="9">
        <f t="shared" si="1"/>
        <v>7</v>
      </c>
      <c r="X31" s="9"/>
    </row>
    <row r="32" spans="2:22" ht="13.5" thickBot="1">
      <c r="B32" s="31"/>
      <c r="C32" s="44"/>
      <c r="D32" s="44"/>
      <c r="E32" s="32"/>
      <c r="F32" s="32"/>
      <c r="G32" s="32"/>
      <c r="H32" s="32"/>
      <c r="I32" s="44"/>
      <c r="J32" s="44"/>
      <c r="K32" s="44"/>
      <c r="L32" s="44"/>
      <c r="M32" s="44"/>
      <c r="N32" s="32"/>
      <c r="O32" s="44"/>
      <c r="P32" s="44"/>
      <c r="Q32" s="34"/>
      <c r="R32" s="35"/>
      <c r="V32" s="9">
        <f t="shared" si="1"/>
        <v>8</v>
      </c>
    </row>
    <row r="33" spans="3:22" ht="12.75">
      <c r="C33" s="5"/>
      <c r="D33" s="5"/>
      <c r="O33" s="6"/>
      <c r="P33" s="13"/>
      <c r="R33" s="5"/>
      <c r="V33" s="9">
        <f>V32+1</f>
        <v>9</v>
      </c>
    </row>
    <row r="34" ht="12.75">
      <c r="V34" s="9">
        <f t="shared" si="1"/>
        <v>10</v>
      </c>
    </row>
  </sheetData>
  <mergeCells count="25">
    <mergeCell ref="B2:N3"/>
    <mergeCell ref="O2:R2"/>
    <mergeCell ref="O3:R3"/>
    <mergeCell ref="E7:G7"/>
    <mergeCell ref="I7:J7"/>
    <mergeCell ref="C9:H9"/>
    <mergeCell ref="L9:M9"/>
    <mergeCell ref="L10:M10"/>
    <mergeCell ref="C11:E11"/>
    <mergeCell ref="L11:M11"/>
    <mergeCell ref="L12:M12"/>
    <mergeCell ref="L16:M16"/>
    <mergeCell ref="L17:M17"/>
    <mergeCell ref="L18:L19"/>
    <mergeCell ref="M18:M19"/>
    <mergeCell ref="L14:M14"/>
    <mergeCell ref="L20:M20"/>
    <mergeCell ref="L21:M21"/>
    <mergeCell ref="L22:M22"/>
    <mergeCell ref="P23:Q23"/>
    <mergeCell ref="P27:Q27"/>
    <mergeCell ref="P24:Q24"/>
    <mergeCell ref="P25:Q25"/>
    <mergeCell ref="E26:I26"/>
    <mergeCell ref="P26:Q26"/>
  </mergeCells>
  <conditionalFormatting sqref="E13:H13 C11:H11">
    <cfRule type="cellIs" priority="1" dxfId="0" operator="equal" stopIfTrue="1">
      <formula>"Please Re-Enter"</formula>
    </cfRule>
  </conditionalFormatting>
  <conditionalFormatting sqref="H25">
    <cfRule type="cellIs" priority="2" dxfId="13" operator="notEqual" stopIfTrue="1">
      <formula>"x"</formula>
    </cfRule>
  </conditionalFormatting>
  <conditionalFormatting sqref="H7 K7 N7 P7 F10 H10">
    <cfRule type="cellIs" priority="3" dxfId="1" operator="notBetween" stopIfTrue="1">
      <formula>0</formula>
      <formula>1</formula>
    </cfRule>
  </conditionalFormatting>
  <conditionalFormatting sqref="P26:Q26">
    <cfRule type="cellIs" priority="4" dxfId="2" operator="equal" stopIfTrue="1">
      <formula>"""#VALUE!"""</formula>
    </cfRule>
  </conditionalFormatting>
  <conditionalFormatting sqref="C10 C9:H9">
    <cfRule type="expression" priority="5" dxfId="7" stopIfTrue="1">
      <formula>$I$7&lt;&gt;$S$24</formula>
    </cfRule>
  </conditionalFormatting>
  <conditionalFormatting sqref="D10">
    <cfRule type="expression" priority="6" dxfId="7" stopIfTrue="1">
      <formula>$I$7&lt;&gt;$S$24</formula>
    </cfRule>
    <cfRule type="expression" priority="7" dxfId="14" stopIfTrue="1">
      <formula>$C$10=$U$27</formula>
    </cfRule>
    <cfRule type="expression" priority="8" dxfId="14" stopIfTrue="1">
      <formula>$C$10=$U$28</formula>
    </cfRule>
  </conditionalFormatting>
  <dataValidations count="3">
    <dataValidation type="list" allowBlank="1" showInputMessage="1" showErrorMessage="1" errorTitle="Please Re-enter" sqref="C10">
      <formula1>$U$23:$U$28</formula1>
    </dataValidation>
    <dataValidation type="list" allowBlank="1" showInputMessage="1" showErrorMessage="1" errorTitle="Please Re-enter" sqref="D10">
      <formula1>$V$23:$V$34</formula1>
    </dataValidation>
    <dataValidation type="list" allowBlank="1" showInputMessage="1" showErrorMessage="1" errorTitle="Please Re-enter" sqref="I7:J7">
      <formula1>$S$24:$S$27</formula1>
    </dataValidation>
  </dataValidations>
  <hyperlinks>
    <hyperlink ref="O3" r:id="rId1" display="www.ajhw.co.uk"/>
    <hyperlink ref="O2:R2" location="Introduction!A1" display="A.J.H. Computer Services"/>
  </hyperlink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&amp;LBritish Imperial units Conversions - Paper Sizes&amp;RDownloaded from www.ajhw.co.uk</oddHeader>
    <oddFooter>&amp;LA.J.H. Computer Services&amp;R© AJH 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Q30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5" customWidth="1"/>
    <col min="2" max="2" width="2.28125" style="5" customWidth="1"/>
    <col min="3" max="3" width="2.421875" style="5" customWidth="1"/>
    <col min="4" max="4" width="3.421875" style="6" customWidth="1"/>
    <col min="5" max="12" width="9.00390625" style="5" customWidth="1"/>
    <col min="13" max="13" width="2.421875" style="5" customWidth="1"/>
    <col min="14" max="14" width="8.7109375" style="5" customWidth="1"/>
    <col min="15" max="15" width="2.140625" style="6" customWidth="1"/>
    <col min="16" max="16" width="11.140625" style="5" hidden="1" customWidth="1"/>
    <col min="17" max="17" width="13.28125" style="201" hidden="1" customWidth="1"/>
    <col min="18" max="16384" width="9.140625" style="5" customWidth="1"/>
  </cols>
  <sheetData>
    <row r="1" ht="7.5" customHeight="1" thickBot="1"/>
    <row r="2" spans="2:15" ht="18.75" customHeight="1">
      <c r="B2" s="507" t="s">
        <v>253</v>
      </c>
      <c r="C2" s="508"/>
      <c r="D2" s="508"/>
      <c r="E2" s="508"/>
      <c r="F2" s="508"/>
      <c r="G2" s="508"/>
      <c r="H2" s="508"/>
      <c r="I2" s="508"/>
      <c r="J2" s="508"/>
      <c r="K2" s="394" t="s">
        <v>1</v>
      </c>
      <c r="L2" s="394"/>
      <c r="M2" s="394"/>
      <c r="N2" s="394"/>
      <c r="O2" s="395"/>
    </row>
    <row r="3" spans="2:15" ht="12.75" customHeight="1" thickBot="1">
      <c r="B3" s="509"/>
      <c r="C3" s="510"/>
      <c r="D3" s="510"/>
      <c r="E3" s="510"/>
      <c r="F3" s="510"/>
      <c r="G3" s="510"/>
      <c r="H3" s="510"/>
      <c r="I3" s="510"/>
      <c r="J3" s="510"/>
      <c r="K3" s="396" t="s">
        <v>0</v>
      </c>
      <c r="L3" s="511"/>
      <c r="M3" s="511"/>
      <c r="N3" s="511"/>
      <c r="O3" s="512"/>
    </row>
    <row r="4" spans="2:15" ht="13.5" thickTop="1">
      <c r="B4" s="513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</row>
    <row r="5" spans="2:17" ht="12.75">
      <c r="B5" s="516"/>
      <c r="C5" s="423"/>
      <c r="D5" s="423"/>
      <c r="E5" s="142" t="s">
        <v>254</v>
      </c>
      <c r="F5" s="142"/>
      <c r="G5" s="142"/>
      <c r="H5" s="397"/>
      <c r="I5" s="397"/>
      <c r="J5" s="397"/>
      <c r="K5" s="397"/>
      <c r="L5" s="397"/>
      <c r="M5" s="397"/>
      <c r="N5" s="397"/>
      <c r="O5" s="517"/>
      <c r="P5" s="203" t="s">
        <v>255</v>
      </c>
      <c r="Q5" s="201">
        <v>31556996</v>
      </c>
    </row>
    <row r="6" spans="2:17" ht="12.75">
      <c r="B6" s="516"/>
      <c r="C6" s="423"/>
      <c r="D6" s="423"/>
      <c r="E6" s="204" t="s">
        <v>256</v>
      </c>
      <c r="F6" s="200" t="s">
        <v>257</v>
      </c>
      <c r="G6" s="200" t="s">
        <v>258</v>
      </c>
      <c r="H6" s="200" t="s">
        <v>259</v>
      </c>
      <c r="I6" s="200" t="s">
        <v>260</v>
      </c>
      <c r="J6" s="200" t="s">
        <v>261</v>
      </c>
      <c r="K6" s="200" t="s">
        <v>262</v>
      </c>
      <c r="L6" s="423"/>
      <c r="M6" s="1"/>
      <c r="N6" s="68"/>
      <c r="O6" s="61"/>
      <c r="P6" s="203" t="s">
        <v>263</v>
      </c>
      <c r="Q6" s="201">
        <v>2629749.7</v>
      </c>
    </row>
    <row r="7" spans="2:17" ht="15.75">
      <c r="B7" s="60"/>
      <c r="C7" s="112"/>
      <c r="D7" s="112"/>
      <c r="E7" s="341"/>
      <c r="F7" s="327"/>
      <c r="G7" s="327"/>
      <c r="H7" s="327"/>
      <c r="I7" s="342"/>
      <c r="J7" s="327"/>
      <c r="K7" s="328"/>
      <c r="L7" s="423"/>
      <c r="M7" s="17"/>
      <c r="N7" s="17"/>
      <c r="O7" s="61"/>
      <c r="P7" s="5">
        <f>E7*Q5+F7*Q6+G7*Q7+H7*Q8+I7*Q9+J7*Q10+K7</f>
        <v>0</v>
      </c>
      <c r="Q7" s="201">
        <v>604800</v>
      </c>
    </row>
    <row r="8" spans="2:17" ht="12.75">
      <c r="B8" s="516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357">
        <f>IF(OR(N8=P18),0,1)</f>
        <v>0</v>
      </c>
      <c r="N8" s="343" t="s">
        <v>351</v>
      </c>
      <c r="O8" s="61"/>
      <c r="P8" s="5">
        <f>IF(OR(M8&gt;1,M8&lt;0),0,M8)</f>
        <v>0</v>
      </c>
      <c r="Q8" s="201">
        <v>86400</v>
      </c>
    </row>
    <row r="9" spans="2:17" ht="12.75">
      <c r="B9" s="516"/>
      <c r="C9" s="423"/>
      <c r="D9" s="423"/>
      <c r="E9" s="204" t="s">
        <v>256</v>
      </c>
      <c r="F9" s="200" t="s">
        <v>257</v>
      </c>
      <c r="G9" s="200" t="s">
        <v>258</v>
      </c>
      <c r="H9" s="200" t="s">
        <v>259</v>
      </c>
      <c r="I9" s="200" t="s">
        <v>260</v>
      </c>
      <c r="J9" s="200" t="s">
        <v>261</v>
      </c>
      <c r="K9" s="200" t="s">
        <v>262</v>
      </c>
      <c r="L9" s="114"/>
      <c r="M9" s="198">
        <f>IF(OR(M8&gt;1,M8&lt;0),"Please Enter 1 or 0","")</f>
      </c>
      <c r="N9" s="17"/>
      <c r="O9" s="61"/>
      <c r="Q9" s="201">
        <v>3600</v>
      </c>
    </row>
    <row r="10" spans="2:17" ht="15.75">
      <c r="B10" s="60"/>
      <c r="C10" s="112"/>
      <c r="D10" s="112"/>
      <c r="E10" s="341"/>
      <c r="F10" s="327"/>
      <c r="G10" s="327"/>
      <c r="H10" s="327"/>
      <c r="I10" s="342"/>
      <c r="J10" s="327"/>
      <c r="K10" s="328"/>
      <c r="L10" s="423"/>
      <c r="M10" s="423"/>
      <c r="N10" s="423"/>
      <c r="O10" s="518"/>
      <c r="P10" s="5">
        <f>E10*Q5+F10*Q6+G10*Q7+H10*Q8+I10*Q9+J10*Q10+K10</f>
        <v>0</v>
      </c>
      <c r="Q10" s="201">
        <v>60</v>
      </c>
    </row>
    <row r="11" spans="2:16" ht="12.75">
      <c r="B11" s="516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518"/>
      <c r="P11" s="5">
        <f>P7-P10</f>
        <v>0</v>
      </c>
    </row>
    <row r="12" spans="2:16" ht="12.75">
      <c r="B12" s="516"/>
      <c r="C12" s="423"/>
      <c r="D12" s="423"/>
      <c r="E12" s="204" t="s">
        <v>256</v>
      </c>
      <c r="F12" s="200" t="s">
        <v>257</v>
      </c>
      <c r="G12" s="200" t="s">
        <v>258</v>
      </c>
      <c r="H12" s="200" t="s">
        <v>259</v>
      </c>
      <c r="I12" s="200" t="s">
        <v>260</v>
      </c>
      <c r="J12" s="200" t="s">
        <v>261</v>
      </c>
      <c r="K12" s="200" t="s">
        <v>262</v>
      </c>
      <c r="L12" s="114"/>
      <c r="M12" s="17"/>
      <c r="N12" s="17"/>
      <c r="O12" s="61"/>
      <c r="P12" s="5">
        <f>P7+P10</f>
        <v>0</v>
      </c>
    </row>
    <row r="13" spans="2:17" s="11" customFormat="1" ht="15.75">
      <c r="B13" s="71"/>
      <c r="C13" s="199" t="str">
        <f>IF(OR(P16&lt;0),P5,P6)</f>
        <v>+</v>
      </c>
      <c r="D13" s="113"/>
      <c r="E13" s="132">
        <f aca="true" t="shared" si="0" ref="E13:J13">IF(OR(E28&lt;0.001),"",E28)</f>
      </c>
      <c r="F13" s="124">
        <f t="shared" si="0"/>
      </c>
      <c r="G13" s="124">
        <f t="shared" si="0"/>
      </c>
      <c r="H13" s="124">
        <f t="shared" si="0"/>
      </c>
      <c r="I13" s="133">
        <f t="shared" si="0"/>
      </c>
      <c r="J13" s="124">
        <f t="shared" si="0"/>
      </c>
      <c r="K13" s="136">
        <f>IF(OR(K28&lt;1),"",K28)</f>
      </c>
      <c r="L13" s="206"/>
      <c r="M13" s="22"/>
      <c r="N13" s="22"/>
      <c r="O13" s="126"/>
      <c r="Q13" s="201"/>
    </row>
    <row r="14" spans="2:15" ht="6" customHeight="1">
      <c r="B14" s="516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518"/>
    </row>
    <row r="15" spans="2:16" ht="15.75" customHeight="1">
      <c r="B15" s="368" t="s">
        <v>241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46"/>
      <c r="P15" s="5">
        <f>IF(OR(P8=0),P12,P11)</f>
        <v>0</v>
      </c>
    </row>
    <row r="16" spans="2:16" ht="12.75">
      <c r="B16" s="516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518"/>
      <c r="P16" s="5">
        <f>ROUND(P15,0)</f>
        <v>0</v>
      </c>
    </row>
    <row r="17" spans="2:15" ht="15.75">
      <c r="B17" s="202"/>
      <c r="C17" s="207" t="s">
        <v>264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205"/>
    </row>
    <row r="18" spans="2:16" ht="12.75">
      <c r="B18" s="202"/>
      <c r="C18" s="114"/>
      <c r="D18" s="114"/>
      <c r="E18" s="519" t="s">
        <v>265</v>
      </c>
      <c r="F18" s="519"/>
      <c r="G18" s="519"/>
      <c r="H18" s="114"/>
      <c r="I18" s="114"/>
      <c r="J18" s="114"/>
      <c r="K18" s="114"/>
      <c r="L18" s="114"/>
      <c r="M18" s="114"/>
      <c r="N18" s="114"/>
      <c r="O18" s="205"/>
      <c r="P18" s="5" t="s">
        <v>351</v>
      </c>
    </row>
    <row r="19" spans="2:16" ht="12.75">
      <c r="B19" s="202"/>
      <c r="C19" s="114"/>
      <c r="D19" s="114"/>
      <c r="E19" s="410" t="s">
        <v>266</v>
      </c>
      <c r="F19" s="410"/>
      <c r="G19" s="410"/>
      <c r="H19" s="410"/>
      <c r="I19" s="410"/>
      <c r="J19" s="410"/>
      <c r="K19" s="410"/>
      <c r="L19" s="114"/>
      <c r="M19" s="114"/>
      <c r="N19" s="114"/>
      <c r="O19" s="205"/>
      <c r="P19" s="5" t="s">
        <v>352</v>
      </c>
    </row>
    <row r="20" spans="2:15" ht="12.75">
      <c r="B20" s="202"/>
      <c r="C20" s="114"/>
      <c r="D20" s="114"/>
      <c r="E20" s="62" t="s">
        <v>267</v>
      </c>
      <c r="F20" s="114"/>
      <c r="G20" s="114"/>
      <c r="H20" s="114"/>
      <c r="I20" s="114"/>
      <c r="J20" s="114"/>
      <c r="K20" s="114"/>
      <c r="L20" s="114"/>
      <c r="M20" s="114"/>
      <c r="N20" s="114"/>
      <c r="O20" s="205"/>
    </row>
    <row r="21" spans="2:15" ht="12.75">
      <c r="B21" s="202"/>
      <c r="C21" s="200" t="s">
        <v>268</v>
      </c>
      <c r="D21" s="114"/>
      <c r="E21" s="62"/>
      <c r="F21" s="204" t="s">
        <v>256</v>
      </c>
      <c r="G21" s="200"/>
      <c r="H21" s="200"/>
      <c r="I21" s="200" t="s">
        <v>257</v>
      </c>
      <c r="J21" s="200"/>
      <c r="K21" s="200"/>
      <c r="L21" s="200" t="s">
        <v>258</v>
      </c>
      <c r="M21" s="114"/>
      <c r="N21" s="114"/>
      <c r="O21" s="205"/>
    </row>
    <row r="22" spans="2:15" ht="12.75">
      <c r="B22" s="202"/>
      <c r="C22" s="114"/>
      <c r="D22" s="114"/>
      <c r="E22" s="62"/>
      <c r="F22" s="520">
        <f>Q5</f>
        <v>31556996</v>
      </c>
      <c r="G22" s="520"/>
      <c r="H22" s="208"/>
      <c r="I22" s="521">
        <f>Q6</f>
        <v>2629749.7</v>
      </c>
      <c r="J22" s="521"/>
      <c r="K22" s="208"/>
      <c r="L22" s="520">
        <f>Q7</f>
        <v>604800</v>
      </c>
      <c r="M22" s="520"/>
      <c r="N22" s="114"/>
      <c r="O22" s="205"/>
    </row>
    <row r="23" spans="2:15" ht="12.75">
      <c r="B23" s="202"/>
      <c r="C23" s="114"/>
      <c r="D23" s="114"/>
      <c r="E23" s="62"/>
      <c r="F23" s="209"/>
      <c r="G23" s="209"/>
      <c r="H23" s="200"/>
      <c r="I23" s="209"/>
      <c r="J23" s="209"/>
      <c r="K23" s="200"/>
      <c r="L23" s="209"/>
      <c r="M23" s="209"/>
      <c r="N23" s="114"/>
      <c r="O23" s="205"/>
    </row>
    <row r="24" spans="2:15" ht="12.75">
      <c r="B24" s="202"/>
      <c r="C24" s="114"/>
      <c r="D24" s="114"/>
      <c r="E24" s="62"/>
      <c r="F24" s="200" t="s">
        <v>259</v>
      </c>
      <c r="G24" s="200"/>
      <c r="H24" s="140"/>
      <c r="I24" s="200" t="s">
        <v>260</v>
      </c>
      <c r="J24" s="140"/>
      <c r="K24" s="200"/>
      <c r="L24" s="200" t="s">
        <v>261</v>
      </c>
      <c r="M24" s="210"/>
      <c r="N24" s="114"/>
      <c r="O24" s="205"/>
    </row>
    <row r="25" spans="2:15" ht="12.75">
      <c r="B25" s="202"/>
      <c r="C25" s="114"/>
      <c r="D25" s="114"/>
      <c r="E25" s="62"/>
      <c r="F25" s="520">
        <f>Q8</f>
        <v>86400</v>
      </c>
      <c r="G25" s="520"/>
      <c r="H25" s="211"/>
      <c r="I25" s="520">
        <f>Q9</f>
        <v>3600</v>
      </c>
      <c r="J25" s="520"/>
      <c r="K25" s="211"/>
      <c r="L25" s="520">
        <f>Q10</f>
        <v>60</v>
      </c>
      <c r="M25" s="520"/>
      <c r="N25" s="114"/>
      <c r="O25" s="205"/>
    </row>
    <row r="26" spans="2:15" ht="13.5" thickBot="1"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</row>
    <row r="27" ht="12.75" hidden="1"/>
    <row r="28" spans="4:17" s="215" customFormat="1" ht="12.75" customHeight="1" hidden="1" thickBot="1">
      <c r="D28" s="216"/>
      <c r="E28" s="217">
        <f>INT(ABS(P16)/Q5)</f>
        <v>0</v>
      </c>
      <c r="F28" s="217">
        <f>INT((ABS(P16)-(E28*Q5))/Q6)</f>
        <v>0</v>
      </c>
      <c r="G28" s="217">
        <f>INT((ABS(P16)-(E28*Q5)-(F28*Q6))/Q7)</f>
        <v>0</v>
      </c>
      <c r="H28" s="217">
        <f>INT((ABS(P16)-(E28*Q5)-(F28*Q6)-(G28*Q7))/Q8)</f>
        <v>0</v>
      </c>
      <c r="I28" s="218">
        <f>INT((ABS(P16)-(E28*Q5)-(F28*Q6)-(G28*Q7)-(H28*Q8))/Q9)</f>
        <v>0</v>
      </c>
      <c r="J28" s="217">
        <f>INT((ABS(P16)-(E28*Q5)-(F28*Q6)-(G28*Q7)-(H28*Q8)-(I28*Q9))/Q10)</f>
        <v>0</v>
      </c>
      <c r="K28" s="217">
        <f>ABS(P16)-(E28*Q5)-(F28*Q6)-(G28*Q7)-(H28*Q8)-(I28*Q9)-(J28*Q10)</f>
        <v>0</v>
      </c>
      <c r="O28" s="216"/>
      <c r="Q28" s="219"/>
    </row>
    <row r="29" spans="5:11" ht="12.75" hidden="1">
      <c r="E29" s="220"/>
      <c r="F29" s="220"/>
      <c r="G29" s="220"/>
      <c r="H29" s="220"/>
      <c r="I29" s="221"/>
      <c r="J29" s="220"/>
      <c r="K29" s="220"/>
    </row>
    <row r="30" ht="12.75">
      <c r="K30" s="222"/>
    </row>
  </sheetData>
  <mergeCells count="24">
    <mergeCell ref="L22:M22"/>
    <mergeCell ref="F25:G25"/>
    <mergeCell ref="I25:J25"/>
    <mergeCell ref="L25:M25"/>
    <mergeCell ref="E18:G18"/>
    <mergeCell ref="E19:K19"/>
    <mergeCell ref="F22:G22"/>
    <mergeCell ref="I22:J22"/>
    <mergeCell ref="B12:D12"/>
    <mergeCell ref="B14:O14"/>
    <mergeCell ref="B15:O15"/>
    <mergeCell ref="B16:O16"/>
    <mergeCell ref="B8:L8"/>
    <mergeCell ref="B9:D9"/>
    <mergeCell ref="L10:O10"/>
    <mergeCell ref="B11:O11"/>
    <mergeCell ref="B5:D5"/>
    <mergeCell ref="H5:O5"/>
    <mergeCell ref="B6:D6"/>
    <mergeCell ref="L6:L7"/>
    <mergeCell ref="B2:J3"/>
    <mergeCell ref="K2:O2"/>
    <mergeCell ref="K3:O3"/>
    <mergeCell ref="B4:O4"/>
  </mergeCells>
  <conditionalFormatting sqref="M8">
    <cfRule type="cellIs" priority="1" dxfId="1" operator="notBetween" stopIfTrue="1">
      <formula>0</formula>
      <formula>1</formula>
    </cfRule>
  </conditionalFormatting>
  <dataValidations count="2">
    <dataValidation type="list" allowBlank="1" showInputMessage="1" showErrorMessage="1" errorTitle="Please Re-enter" error="Enter Add or Subtract Only" sqref="N8">
      <formula1>$P$18:$P$19</formula1>
    </dataValidation>
    <dataValidation type="decimal" allowBlank="1" showInputMessage="1" showErrorMessage="1" errorTitle="Please Re-enter" error="Numbers Only" sqref="E7:K7 E10:K10">
      <formula1>0.000001</formula1>
      <formula2>999999</formula2>
    </dataValidation>
  </dataValidations>
  <hyperlinks>
    <hyperlink ref="K3" r:id="rId1" display="www.ajhw.co.uk"/>
    <hyperlink ref="K2:O2" location="Introduction!A1" display="A.J.H. Computer Services"/>
  </hyperlinks>
  <printOptions horizontalCentered="1" verticalCentered="1"/>
  <pageMargins left="0.7480314960629921" right="0.7480314960629921" top="1.1811023622047245" bottom="1.3779527559055118" header="0.35433070866141736" footer="0.2755905511811024"/>
  <pageSetup horizontalDpi="300" verticalDpi="300" orientation="landscape" paperSize="9" r:id="rId4"/>
  <headerFooter alignWithMargins="0">
    <oddHeader>&amp;LBritish Imperial units Conversions - Time Calculator&amp;RDownloaded from www.ajhw.co.uk</oddHeader>
    <oddFooter>&amp;LA.J.H. Computer Services&amp;R© AJH 2016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01"/>
  <sheetViews>
    <sheetView showGridLines="0" showRowColHeaders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5" customWidth="1"/>
    <col min="2" max="2" width="2.421875" style="5" customWidth="1"/>
    <col min="3" max="3" width="2.8515625" style="6" customWidth="1"/>
    <col min="4" max="4" width="10.00390625" style="6" customWidth="1"/>
    <col min="5" max="5" width="12.8515625" style="5" customWidth="1"/>
    <col min="6" max="6" width="8.00390625" style="5" customWidth="1"/>
    <col min="7" max="11" width="12.8515625" style="5" customWidth="1"/>
    <col min="12" max="12" width="2.7109375" style="5" customWidth="1"/>
    <col min="13" max="13" width="1.421875" style="6" customWidth="1"/>
    <col min="14" max="14" width="8.7109375" style="116" hidden="1" customWidth="1"/>
    <col min="15" max="16384" width="9.140625" style="5" customWidth="1"/>
  </cols>
  <sheetData>
    <row r="1" ht="7.5" customHeight="1" thickBot="1"/>
    <row r="2" spans="2:13" ht="18.75" customHeight="1">
      <c r="B2" s="403" t="s">
        <v>13</v>
      </c>
      <c r="C2" s="404"/>
      <c r="D2" s="404"/>
      <c r="E2" s="404"/>
      <c r="F2" s="404"/>
      <c r="G2" s="404"/>
      <c r="H2" s="404"/>
      <c r="I2" s="404"/>
      <c r="J2" s="394" t="s">
        <v>1</v>
      </c>
      <c r="K2" s="394"/>
      <c r="L2" s="394"/>
      <c r="M2" s="395"/>
    </row>
    <row r="3" spans="2:13" ht="12.75" customHeight="1" thickBot="1">
      <c r="B3" s="405"/>
      <c r="C3" s="393"/>
      <c r="D3" s="393"/>
      <c r="E3" s="393"/>
      <c r="F3" s="393"/>
      <c r="G3" s="393"/>
      <c r="H3" s="393"/>
      <c r="I3" s="393"/>
      <c r="J3" s="396" t="s">
        <v>0</v>
      </c>
      <c r="K3" s="396"/>
      <c r="L3" s="396"/>
      <c r="M3" s="383"/>
    </row>
    <row r="4" spans="2:13" ht="23.25" customHeight="1" thickTop="1">
      <c r="B4" s="16"/>
      <c r="C4" s="19" t="s">
        <v>170</v>
      </c>
      <c r="D4" s="19"/>
      <c r="E4" s="17"/>
      <c r="F4" s="17"/>
      <c r="G4" s="17"/>
      <c r="H4" s="17"/>
      <c r="I4" s="17"/>
      <c r="J4" s="1"/>
      <c r="K4" s="1"/>
      <c r="L4" s="17"/>
      <c r="M4" s="18"/>
    </row>
    <row r="5" spans="2:14" ht="3.75" customHeight="1">
      <c r="B5" s="117"/>
      <c r="C5" s="118"/>
      <c r="D5" s="118"/>
      <c r="E5" s="119"/>
      <c r="F5" s="119"/>
      <c r="G5" s="119"/>
      <c r="H5" s="119"/>
      <c r="I5" s="119"/>
      <c r="J5" s="120"/>
      <c r="K5" s="120"/>
      <c r="L5" s="119"/>
      <c r="M5" s="121"/>
      <c r="N5" s="116">
        <f>(D14*1000000)+(D18*1000)+(D22*10)+D26</f>
        <v>0</v>
      </c>
    </row>
    <row r="6" spans="2:13" ht="21" customHeight="1">
      <c r="B6" s="16"/>
      <c r="C6" s="19" t="s">
        <v>247</v>
      </c>
      <c r="D6" s="19"/>
      <c r="E6" s="17"/>
      <c r="F6" s="17"/>
      <c r="G6" s="17"/>
      <c r="H6" s="17"/>
      <c r="I6" s="17"/>
      <c r="J6" s="1"/>
      <c r="K6" s="1"/>
      <c r="L6" s="17"/>
      <c r="M6" s="18"/>
    </row>
    <row r="7" spans="2:13" ht="7.5" customHeight="1">
      <c r="B7" s="16"/>
      <c r="C7" s="19"/>
      <c r="D7" s="19"/>
      <c r="E7" s="17"/>
      <c r="F7" s="17"/>
      <c r="G7" s="17"/>
      <c r="H7" s="17"/>
      <c r="I7" s="17"/>
      <c r="J7" s="1"/>
      <c r="K7" s="1"/>
      <c r="L7" s="17"/>
      <c r="M7" s="18"/>
    </row>
    <row r="8" spans="2:13" ht="12.75" customHeight="1">
      <c r="B8" s="16"/>
      <c r="C8" s="19"/>
      <c r="D8" s="20" t="s">
        <v>248</v>
      </c>
      <c r="E8" s="17"/>
      <c r="F8" s="17"/>
      <c r="G8" s="1" t="s">
        <v>249</v>
      </c>
      <c r="H8" s="17"/>
      <c r="I8" s="1" t="s">
        <v>251</v>
      </c>
      <c r="J8" s="1"/>
      <c r="K8" s="1" t="s">
        <v>250</v>
      </c>
      <c r="L8" s="17"/>
      <c r="M8" s="18"/>
    </row>
    <row r="9" spans="2:13" ht="15.75" customHeight="1">
      <c r="B9" s="16"/>
      <c r="C9" s="19"/>
      <c r="D9" s="384"/>
      <c r="E9" s="385"/>
      <c r="F9" s="17"/>
      <c r="G9" s="195">
        <f>IF(OR(D9&lt;0.1,D9&gt;0.9),"",D9)</f>
      </c>
      <c r="H9" s="17"/>
      <c r="I9" s="196">
        <f>IF(OR(D9&lt;0.01,D9&gt;0.99),"",D9)</f>
      </c>
      <c r="J9" s="1"/>
      <c r="K9" s="197">
        <f>IF(OR(D9&lt;0.001,D9&gt;0.999),"",D9)</f>
      </c>
      <c r="L9" s="17"/>
      <c r="M9" s="18"/>
    </row>
    <row r="10" spans="2:13" ht="12.75" customHeight="1" thickBot="1">
      <c r="B10" s="25"/>
      <c r="C10" s="194"/>
      <c r="D10" s="194"/>
      <c r="E10" s="26"/>
      <c r="F10" s="26"/>
      <c r="G10" s="26"/>
      <c r="H10" s="26"/>
      <c r="I10" s="26"/>
      <c r="J10" s="80"/>
      <c r="K10" s="80"/>
      <c r="L10" s="26"/>
      <c r="M10" s="27"/>
    </row>
    <row r="11" spans="2:13" ht="21" customHeight="1" thickTop="1">
      <c r="B11" s="16"/>
      <c r="C11" s="122" t="s">
        <v>18</v>
      </c>
      <c r="D11" s="19"/>
      <c r="E11" s="17"/>
      <c r="F11" s="17"/>
      <c r="G11" s="17"/>
      <c r="H11" s="17"/>
      <c r="I11" s="17"/>
      <c r="J11" s="1"/>
      <c r="K11" s="1"/>
      <c r="L11" s="17"/>
      <c r="M11" s="18"/>
    </row>
    <row r="12" spans="2:13" ht="7.5" customHeight="1">
      <c r="B12" s="16"/>
      <c r="C12" s="103"/>
      <c r="D12" s="19"/>
      <c r="E12" s="17"/>
      <c r="F12" s="17"/>
      <c r="G12" s="17"/>
      <c r="H12" s="17"/>
      <c r="I12" s="17"/>
      <c r="J12" s="1"/>
      <c r="K12" s="1"/>
      <c r="L12" s="17"/>
      <c r="M12" s="18"/>
    </row>
    <row r="13" spans="2:14" ht="12.75">
      <c r="B13" s="16"/>
      <c r="C13" s="433" t="s">
        <v>171</v>
      </c>
      <c r="D13" s="433"/>
      <c r="E13" s="433"/>
      <c r="F13" s="1"/>
      <c r="G13" s="20" t="s">
        <v>79</v>
      </c>
      <c r="H13" s="17"/>
      <c r="I13" s="1"/>
      <c r="J13" s="1"/>
      <c r="K13" s="20"/>
      <c r="L13" s="17"/>
      <c r="M13" s="18"/>
      <c r="N13" s="116">
        <f>N5/25.4</f>
        <v>0</v>
      </c>
    </row>
    <row r="14" spans="2:14" s="11" customFormat="1" ht="15.75">
      <c r="B14" s="21"/>
      <c r="C14" s="55"/>
      <c r="D14" s="399"/>
      <c r="E14" s="400"/>
      <c r="F14" s="112"/>
      <c r="G14" s="123">
        <f>IF(OR(N16&lt;0.001),"",N16)</f>
      </c>
      <c r="H14" s="124">
        <f>IF(OR(N17&lt;0.001),"",N17)</f>
      </c>
      <c r="I14" s="124">
        <f>IF(OR(N18&lt;0.001),"",N18)</f>
      </c>
      <c r="J14" s="124">
        <f>IF(OR(N19&lt;0.001),"",N19)</f>
      </c>
      <c r="K14" s="125">
        <f>IF(OR(N24&lt;0.0005),"",N24)</f>
      </c>
      <c r="L14" s="22"/>
      <c r="M14" s="23"/>
      <c r="N14" s="192"/>
    </row>
    <row r="15" spans="2:13" ht="12.75">
      <c r="B15" s="16"/>
      <c r="C15" s="1"/>
      <c r="D15" s="425" t="s">
        <v>38</v>
      </c>
      <c r="E15" s="425"/>
      <c r="F15" s="1"/>
      <c r="G15" s="1" t="s">
        <v>34</v>
      </c>
      <c r="H15" s="1" t="s">
        <v>32</v>
      </c>
      <c r="I15" s="1" t="s">
        <v>31</v>
      </c>
      <c r="J15" s="1" t="s">
        <v>30</v>
      </c>
      <c r="K15" s="1" t="s">
        <v>173</v>
      </c>
      <c r="L15" s="17"/>
      <c r="M15" s="18"/>
    </row>
    <row r="16" spans="2:14" ht="12.75">
      <c r="B16" s="16"/>
      <c r="C16" s="17"/>
      <c r="D16" s="17"/>
      <c r="E16" s="17"/>
      <c r="F16" s="17"/>
      <c r="G16" s="17"/>
      <c r="H16" s="17"/>
      <c r="I16" s="17"/>
      <c r="J16" s="20"/>
      <c r="K16" s="1" t="s">
        <v>246</v>
      </c>
      <c r="L16" s="20"/>
      <c r="M16" s="18"/>
      <c r="N16" s="116">
        <f>INT(ABS(N13)/63360)</f>
        <v>0</v>
      </c>
    </row>
    <row r="17" spans="2:14" ht="12.75">
      <c r="B17" s="60"/>
      <c r="C17" s="433" t="s">
        <v>172</v>
      </c>
      <c r="D17" s="433"/>
      <c r="E17" s="433"/>
      <c r="F17" s="112"/>
      <c r="G17" s="20" t="s">
        <v>197</v>
      </c>
      <c r="H17" s="55"/>
      <c r="I17" s="142" t="s">
        <v>198</v>
      </c>
      <c r="J17" s="142"/>
      <c r="K17" s="1" t="s">
        <v>245</v>
      </c>
      <c r="L17" s="112"/>
      <c r="M17" s="61"/>
      <c r="N17" s="116">
        <f>INT((ABS(N13)-(N16*63360))/36)</f>
        <v>0</v>
      </c>
    </row>
    <row r="18" spans="2:14" s="11" customFormat="1" ht="15.75">
      <c r="B18" s="71"/>
      <c r="C18" s="22"/>
      <c r="D18" s="399"/>
      <c r="E18" s="400"/>
      <c r="F18" s="113"/>
      <c r="G18" s="141">
        <f>IF(OR(N13&lt;500),"",N13/63360)</f>
      </c>
      <c r="H18" s="191"/>
      <c r="I18" s="141">
        <f>IF(OR(N13&lt;1,N13/36&gt;10000),"",N13/36)</f>
      </c>
      <c r="J18" s="191"/>
      <c r="K18" s="193">
        <f>IF(OR(K14&lt;0.01,K14&gt;0.99),"",K14)</f>
      </c>
      <c r="L18" s="113"/>
      <c r="M18" s="126"/>
      <c r="N18" s="116">
        <f>INT((ABS(N13)-(N16*63360)-(N17*36))/12)</f>
        <v>0</v>
      </c>
    </row>
    <row r="19" spans="2:14" ht="12.75">
      <c r="B19" s="60"/>
      <c r="C19" s="1"/>
      <c r="D19" s="425" t="s">
        <v>20</v>
      </c>
      <c r="E19" s="425"/>
      <c r="F19" s="112"/>
      <c r="G19" s="1" t="s">
        <v>34</v>
      </c>
      <c r="H19" s="1"/>
      <c r="I19" s="1" t="s">
        <v>32</v>
      </c>
      <c r="J19" s="1"/>
      <c r="K19" s="1"/>
      <c r="L19" s="112"/>
      <c r="M19" s="61"/>
      <c r="N19" s="116">
        <f>INT((ABS(N13)-(N16*63360)-(N17*36)-(N18*12)))</f>
        <v>0</v>
      </c>
    </row>
    <row r="20" spans="2:13" ht="12.75">
      <c r="B20" s="60"/>
      <c r="C20" s="1"/>
      <c r="D20" s="1"/>
      <c r="E20" s="1"/>
      <c r="F20" s="112"/>
      <c r="G20" s="1"/>
      <c r="H20" s="1"/>
      <c r="I20" s="1"/>
      <c r="J20" s="1"/>
      <c r="K20" s="1"/>
      <c r="L20" s="112"/>
      <c r="M20" s="61"/>
    </row>
    <row r="21" spans="2:13" ht="12.75">
      <c r="B21" s="60"/>
      <c r="C21" s="433" t="s">
        <v>287</v>
      </c>
      <c r="D21" s="433"/>
      <c r="E21" s="433"/>
      <c r="F21" s="112"/>
      <c r="G21" s="29" t="s">
        <v>198</v>
      </c>
      <c r="H21" s="1"/>
      <c r="I21" s="1"/>
      <c r="J21" s="1"/>
      <c r="K21" s="1"/>
      <c r="L21" s="112"/>
      <c r="M21" s="61"/>
    </row>
    <row r="22" spans="2:13" s="11" customFormat="1" ht="15.75">
      <c r="B22" s="71"/>
      <c r="C22" s="53"/>
      <c r="D22" s="399"/>
      <c r="E22" s="400"/>
      <c r="F22" s="113"/>
      <c r="G22" s="144">
        <f>IF(OR(N13&lt;0.001,N13&gt;10000),"",N13)</f>
      </c>
      <c r="H22" s="53"/>
      <c r="I22" s="53"/>
      <c r="J22" s="53"/>
      <c r="K22" s="53"/>
      <c r="L22" s="113"/>
      <c r="M22" s="126"/>
    </row>
    <row r="23" spans="2:13" ht="12.75">
      <c r="B23" s="60"/>
      <c r="C23" s="1"/>
      <c r="D23" s="425" t="s">
        <v>286</v>
      </c>
      <c r="E23" s="425"/>
      <c r="F23" s="112"/>
      <c r="G23" s="1" t="s">
        <v>30</v>
      </c>
      <c r="H23" s="1"/>
      <c r="I23" s="1"/>
      <c r="J23" s="1"/>
      <c r="K23" s="1"/>
      <c r="L23" s="112"/>
      <c r="M23" s="61"/>
    </row>
    <row r="24" spans="2:14" ht="12.75">
      <c r="B24" s="60"/>
      <c r="C24" s="112"/>
      <c r="D24" s="112"/>
      <c r="E24" s="112"/>
      <c r="F24" s="112"/>
      <c r="G24" s="140"/>
      <c r="H24" s="143"/>
      <c r="I24" s="143"/>
      <c r="J24" s="143"/>
      <c r="K24" s="140"/>
      <c r="L24" s="112"/>
      <c r="M24" s="61"/>
      <c r="N24" s="116">
        <f>ABS(N13)-(N16*63360)-(N17*36)-(N18*12)-(N19)</f>
        <v>0</v>
      </c>
    </row>
    <row r="25" spans="2:14" ht="12.75">
      <c r="B25" s="60"/>
      <c r="C25" s="433" t="s">
        <v>174</v>
      </c>
      <c r="D25" s="433"/>
      <c r="E25" s="433"/>
      <c r="F25" s="112"/>
      <c r="G25" s="29"/>
      <c r="H25" s="81"/>
      <c r="I25" s="1" t="s">
        <v>75</v>
      </c>
      <c r="J25" s="20" t="s">
        <v>201</v>
      </c>
      <c r="K25" s="1" t="s">
        <v>202</v>
      </c>
      <c r="L25" s="1"/>
      <c r="M25" s="61"/>
      <c r="N25" s="116">
        <f>N13/72.913386</f>
        <v>0</v>
      </c>
    </row>
    <row r="26" spans="2:14" s="11" customFormat="1" ht="15.75">
      <c r="B26" s="71"/>
      <c r="C26" s="113"/>
      <c r="D26" s="399"/>
      <c r="E26" s="400"/>
      <c r="F26" s="4"/>
      <c r="G26" s="74"/>
      <c r="H26" s="74"/>
      <c r="I26" s="132">
        <f>IF(OR(N26&lt;0.001),"",N26)</f>
      </c>
      <c r="J26" s="124">
        <f>IF(OR(N27&lt;0.001),"",N27)</f>
      </c>
      <c r="K26" s="154">
        <f>IF(OR(N28&lt;0.01),"",N28)</f>
      </c>
      <c r="L26" s="113"/>
      <c r="M26" s="126"/>
      <c r="N26" s="116">
        <f>INT(ABS(N25)/1000)</f>
        <v>0</v>
      </c>
    </row>
    <row r="27" spans="2:14" ht="12.75">
      <c r="B27" s="60"/>
      <c r="C27" s="112"/>
      <c r="D27" s="397" t="s">
        <v>44</v>
      </c>
      <c r="E27" s="397"/>
      <c r="F27" s="112"/>
      <c r="G27" s="1"/>
      <c r="H27" s="81"/>
      <c r="I27" s="127" t="s">
        <v>76</v>
      </c>
      <c r="J27" s="127" t="s">
        <v>77</v>
      </c>
      <c r="K27" s="127" t="s">
        <v>25</v>
      </c>
      <c r="L27" s="112"/>
      <c r="M27" s="61"/>
      <c r="N27" s="116">
        <f>INT((ABS(N25)-(N26*1000))/100)</f>
        <v>0</v>
      </c>
    </row>
    <row r="28" spans="2:14" ht="7.5" customHeight="1" thickBot="1"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  <c r="N28" s="116">
        <f>ABS(N25)-(N26*1000)-(N27*100)</f>
        <v>0</v>
      </c>
    </row>
    <row r="29" spans="2:13" ht="7.5" customHeight="1" thickTop="1">
      <c r="B29" s="60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61"/>
    </row>
    <row r="30" spans="2:14" ht="15.75">
      <c r="B30" s="60"/>
      <c r="C30" s="131" t="s">
        <v>60</v>
      </c>
      <c r="D30" s="112"/>
      <c r="E30" s="112"/>
      <c r="F30" s="112"/>
      <c r="G30" s="112"/>
      <c r="H30" s="112"/>
      <c r="I30" s="112"/>
      <c r="J30" s="112"/>
      <c r="K30" s="112"/>
      <c r="L30" s="112"/>
      <c r="M30" s="61"/>
      <c r="N30" s="116">
        <f>(D37*10000)+(D33*1000000)+D41</f>
        <v>0</v>
      </c>
    </row>
    <row r="31" spans="2:13" ht="7.5" customHeight="1">
      <c r="B31" s="60"/>
      <c r="C31" s="131"/>
      <c r="D31" s="112"/>
      <c r="E31" s="112"/>
      <c r="F31" s="112"/>
      <c r="G31" s="112"/>
      <c r="H31" s="112"/>
      <c r="I31" s="112"/>
      <c r="J31" s="112"/>
      <c r="K31" s="112"/>
      <c r="L31" s="112"/>
      <c r="M31" s="61"/>
    </row>
    <row r="32" spans="2:13" ht="15.75">
      <c r="B32" s="60"/>
      <c r="C32" s="131"/>
      <c r="D32" s="426" t="s">
        <v>210</v>
      </c>
      <c r="E32" s="426"/>
      <c r="F32" s="112"/>
      <c r="G32" s="112"/>
      <c r="H32" s="112"/>
      <c r="I32" s="142" t="s">
        <v>211</v>
      </c>
      <c r="J32" s="112"/>
      <c r="K32" s="112"/>
      <c r="L32" s="112"/>
      <c r="M32" s="61"/>
    </row>
    <row r="33" spans="2:13" ht="15.75">
      <c r="B33" s="60"/>
      <c r="C33" s="131"/>
      <c r="D33" s="401"/>
      <c r="E33" s="402"/>
      <c r="F33" s="112"/>
      <c r="G33" s="112"/>
      <c r="H33" s="112"/>
      <c r="I33" s="159">
        <f>IF(OR(N38&lt;1),"",N38)</f>
      </c>
      <c r="J33" s="112"/>
      <c r="K33" s="112"/>
      <c r="L33" s="112"/>
      <c r="M33" s="61"/>
    </row>
    <row r="34" spans="2:13" ht="15.75">
      <c r="B34" s="60"/>
      <c r="C34" s="131"/>
      <c r="D34" s="112"/>
      <c r="E34" s="112"/>
      <c r="F34" s="112"/>
      <c r="G34" s="112"/>
      <c r="H34" s="112"/>
      <c r="I34" s="127" t="s">
        <v>205</v>
      </c>
      <c r="J34" s="112"/>
      <c r="K34" s="112"/>
      <c r="L34" s="112"/>
      <c r="M34" s="61"/>
    </row>
    <row r="35" spans="2:13" ht="7.5" customHeight="1">
      <c r="B35" s="60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61"/>
    </row>
    <row r="36" spans="2:14" ht="12.75">
      <c r="B36" s="60"/>
      <c r="C36" s="112"/>
      <c r="D36" s="426" t="s">
        <v>175</v>
      </c>
      <c r="E36" s="426"/>
      <c r="F36" s="112"/>
      <c r="G36" s="1" t="s">
        <v>62</v>
      </c>
      <c r="H36" s="1" t="s">
        <v>63</v>
      </c>
      <c r="I36" s="1" t="s">
        <v>64</v>
      </c>
      <c r="J36" s="29" t="s">
        <v>176</v>
      </c>
      <c r="K36" s="29" t="s">
        <v>177</v>
      </c>
      <c r="L36" s="112"/>
      <c r="M36" s="61"/>
      <c r="N36" s="116">
        <f>N30*10.763910417</f>
        <v>0</v>
      </c>
    </row>
    <row r="37" spans="2:14" s="11" customFormat="1" ht="15.75">
      <c r="B37" s="71"/>
      <c r="C37" s="113"/>
      <c r="D37" s="427"/>
      <c r="E37" s="428"/>
      <c r="F37" s="113"/>
      <c r="G37" s="132">
        <f>IF(OR(N39&lt;0.001),"",N39)</f>
      </c>
      <c r="H37" s="124">
        <f>IF(OR(N40&lt;0.001),"",N40)</f>
      </c>
      <c r="I37" s="124">
        <f>IF(OR(N41&lt;0.001),"",N41)</f>
      </c>
      <c r="J37" s="133">
        <f>IF(OR(N42&lt;0.001),"",N42)</f>
      </c>
      <c r="K37" s="134">
        <f>IF(OR(N43&lt;0.5),"",N43)</f>
      </c>
      <c r="L37" s="113"/>
      <c r="M37" s="126"/>
      <c r="N37" s="116"/>
    </row>
    <row r="38" spans="2:14" ht="12.75">
      <c r="B38" s="60"/>
      <c r="C38" s="112"/>
      <c r="D38" s="425" t="s">
        <v>69</v>
      </c>
      <c r="E38" s="425"/>
      <c r="F38" s="112"/>
      <c r="G38" s="1" t="s">
        <v>68</v>
      </c>
      <c r="H38" s="1" t="s">
        <v>112</v>
      </c>
      <c r="I38" s="1" t="s">
        <v>113</v>
      </c>
      <c r="J38" s="127" t="s">
        <v>67</v>
      </c>
      <c r="K38" s="127" t="s">
        <v>66</v>
      </c>
      <c r="L38" s="112"/>
      <c r="M38" s="61"/>
      <c r="N38" s="116">
        <f>INT(ABS(N36)*0.0000000358700642796875)</f>
        <v>0</v>
      </c>
    </row>
    <row r="39" spans="2:14" s="11" customFormat="1" ht="15.75">
      <c r="B39" s="71"/>
      <c r="C39" s="113"/>
      <c r="D39" s="113"/>
      <c r="E39" s="113"/>
      <c r="F39" s="113"/>
      <c r="G39" s="145"/>
      <c r="H39" s="146"/>
      <c r="I39" s="146"/>
      <c r="J39" s="147"/>
      <c r="K39" s="148"/>
      <c r="L39" s="113"/>
      <c r="M39" s="126"/>
      <c r="N39" s="116">
        <f>INT((ABS(N36)-(N38/0.0000000358700642796875))*0.000022956841139)</f>
        <v>0</v>
      </c>
    </row>
    <row r="40" spans="2:14" ht="12.75">
      <c r="B40" s="60"/>
      <c r="C40" s="112"/>
      <c r="D40" s="426" t="s">
        <v>178</v>
      </c>
      <c r="E40" s="426"/>
      <c r="F40" s="112"/>
      <c r="G40" s="1"/>
      <c r="H40" s="1" t="s">
        <v>62</v>
      </c>
      <c r="I40" s="1"/>
      <c r="J40" s="29" t="s">
        <v>288</v>
      </c>
      <c r="K40" s="127"/>
      <c r="L40" s="112"/>
      <c r="M40" s="61"/>
      <c r="N40" s="116">
        <f>INT((ABS(N36)-(N38/0.0000000358700642796875)-(N39/0.000022956841139))*0.000091827365063)</f>
        <v>0</v>
      </c>
    </row>
    <row r="41" spans="2:14" s="138" customFormat="1" ht="15.75">
      <c r="B41" s="21"/>
      <c r="C41" s="4"/>
      <c r="D41" s="427"/>
      <c r="E41" s="428"/>
      <c r="F41" s="4"/>
      <c r="G41" s="53" t="s">
        <v>197</v>
      </c>
      <c r="H41" s="150">
        <f>IF(OR(N36&lt;500),"",N36*0.000022956841139)</f>
      </c>
      <c r="I41" s="4"/>
      <c r="J41" s="150">
        <f>IF(OR(N36&lt;1,N36/9&gt;10000),"",N36)</f>
      </c>
      <c r="K41" s="4"/>
      <c r="L41" s="4"/>
      <c r="M41" s="43"/>
      <c r="N41" s="151">
        <f>INT((ABS(N36)-(N38/0.0000000358700642796875)-(N39/0.000022956841139)-(N40/0.000091827365063))*0.0036730945822)</f>
        <v>0</v>
      </c>
    </row>
    <row r="42" spans="2:14" ht="12.75">
      <c r="B42" s="60"/>
      <c r="C42" s="112"/>
      <c r="D42" s="425" t="s">
        <v>72</v>
      </c>
      <c r="E42" s="425"/>
      <c r="F42" s="112"/>
      <c r="G42" s="112"/>
      <c r="H42" s="1" t="s">
        <v>68</v>
      </c>
      <c r="I42" s="112"/>
      <c r="J42" s="127" t="s">
        <v>66</v>
      </c>
      <c r="K42" s="112"/>
      <c r="L42" s="112"/>
      <c r="M42" s="61"/>
      <c r="N42" s="116">
        <f>INT((ABS(N36)-(N38/0.0000000358700642796875)-(N39/0.000022956841139)-(N40/0.000091827365063)-N41/0.0036730945822)*0.11111111111)</f>
        <v>0</v>
      </c>
    </row>
    <row r="43" spans="2:14" ht="7.5" customHeight="1" thickBot="1"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30"/>
      <c r="N43" s="116">
        <f>ABS(N36)-N38/0.0000000358700642796875-N39/0.000022956841139-N40/0.000091827365063-N41/0.0036730945822-N42/0.11111111111</f>
        <v>0</v>
      </c>
    </row>
    <row r="44" spans="2:13" ht="7.5" customHeight="1" thickTop="1">
      <c r="B44" s="60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61"/>
    </row>
    <row r="45" spans="2:13" ht="15.75">
      <c r="B45" s="60"/>
      <c r="C45" s="131" t="s">
        <v>14</v>
      </c>
      <c r="D45" s="112"/>
      <c r="E45" s="112"/>
      <c r="F45" s="112"/>
      <c r="G45" s="112"/>
      <c r="H45" s="112"/>
      <c r="I45" s="112"/>
      <c r="J45" s="112"/>
      <c r="K45" s="112"/>
      <c r="L45" s="112"/>
      <c r="M45" s="61"/>
    </row>
    <row r="46" spans="2:14" ht="7.5" customHeight="1">
      <c r="B46" s="60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61"/>
      <c r="N46" s="116">
        <f>(D48*1000)+D52</f>
        <v>0</v>
      </c>
    </row>
    <row r="47" spans="2:14" ht="12.75">
      <c r="B47" s="60"/>
      <c r="C47" s="112"/>
      <c r="D47" s="426" t="s">
        <v>179</v>
      </c>
      <c r="E47" s="426"/>
      <c r="F47" s="112"/>
      <c r="G47" s="20" t="s">
        <v>180</v>
      </c>
      <c r="H47" s="135"/>
      <c r="I47" s="42" t="s">
        <v>8</v>
      </c>
      <c r="J47" s="29" t="s">
        <v>6</v>
      </c>
      <c r="K47" s="29" t="s">
        <v>11</v>
      </c>
      <c r="L47" s="112"/>
      <c r="M47" s="61"/>
      <c r="N47" s="116">
        <f>N46*0.03527396195</f>
        <v>0</v>
      </c>
    </row>
    <row r="48" spans="2:14" s="11" customFormat="1" ht="15.75">
      <c r="B48" s="71"/>
      <c r="C48" s="113"/>
      <c r="D48" s="427"/>
      <c r="E48" s="428"/>
      <c r="F48" s="113"/>
      <c r="G48" s="115">
        <f>IF(OR(N49&lt;0.001),"",N49)</f>
      </c>
      <c r="H48" s="124">
        <f>IF(OR(N50&lt;0.001),"",N50)</f>
      </c>
      <c r="I48" s="124">
        <f>IF(OR(N51&lt;0.001),"",N51)</f>
      </c>
      <c r="J48" s="124">
        <f>IF(OR(N52&lt;0.001),"",N52)</f>
      </c>
      <c r="K48" s="136">
        <f>IF(OR(N53&lt;0.001),"",N53)</f>
      </c>
      <c r="L48" s="113"/>
      <c r="M48" s="126"/>
      <c r="N48" s="116"/>
    </row>
    <row r="49" spans="2:14" ht="12.75">
      <c r="B49" s="60"/>
      <c r="C49" s="112"/>
      <c r="D49" s="397" t="s">
        <v>16</v>
      </c>
      <c r="E49" s="397"/>
      <c r="F49" s="112"/>
      <c r="G49" s="1" t="s">
        <v>10</v>
      </c>
      <c r="H49" s="1" t="s">
        <v>3</v>
      </c>
      <c r="I49" s="1" t="s">
        <v>7</v>
      </c>
      <c r="J49" s="1" t="s">
        <v>4</v>
      </c>
      <c r="K49" s="1" t="s">
        <v>5</v>
      </c>
      <c r="L49" s="29"/>
      <c r="M49" s="61"/>
      <c r="N49" s="116">
        <f>INT(ABS(N47)*0.000027901785714)</f>
        <v>0</v>
      </c>
    </row>
    <row r="50" spans="2:14" s="11" customFormat="1" ht="15.75">
      <c r="B50" s="71"/>
      <c r="C50" s="113"/>
      <c r="D50" s="113"/>
      <c r="E50" s="113"/>
      <c r="F50" s="113"/>
      <c r="G50" s="234" t="s">
        <v>245</v>
      </c>
      <c r="H50" s="146"/>
      <c r="I50" s="146"/>
      <c r="J50" s="146"/>
      <c r="K50" s="149"/>
      <c r="L50" s="22"/>
      <c r="M50" s="126"/>
      <c r="N50" s="116">
        <f>INT((ABS(N47)-(N49/0.000027901785714))*0.00055803571429)</f>
        <v>0</v>
      </c>
    </row>
    <row r="51" spans="2:14" ht="12.75">
      <c r="B51" s="60"/>
      <c r="C51" s="112"/>
      <c r="D51" s="426" t="s">
        <v>181</v>
      </c>
      <c r="E51" s="426"/>
      <c r="F51" s="112"/>
      <c r="G51" s="20" t="s">
        <v>199</v>
      </c>
      <c r="H51" s="20"/>
      <c r="I51" s="42" t="s">
        <v>8</v>
      </c>
      <c r="J51" s="29" t="s">
        <v>289</v>
      </c>
      <c r="K51" s="1"/>
      <c r="L51" s="1"/>
      <c r="M51" s="61"/>
      <c r="N51" s="116">
        <f>INT((ABS(N47)-(N49/0.000027901785714)-(N50/0.00055803571429))*0.0044642857143)</f>
        <v>0</v>
      </c>
    </row>
    <row r="52" spans="2:14" s="138" customFormat="1" ht="15.75">
      <c r="B52" s="21"/>
      <c r="C52" s="4"/>
      <c r="D52" s="427"/>
      <c r="E52" s="428"/>
      <c r="F52" s="4"/>
      <c r="G52" s="150">
        <f>IF(OR(N47&lt;500),"",N47*0.000027901785714)</f>
      </c>
      <c r="H52" s="235"/>
      <c r="I52" s="150">
        <f>IF(OR(N47&lt;20),"",N47/224)</f>
      </c>
      <c r="J52" s="4"/>
      <c r="K52" s="150">
        <f>IF(OR(N47&lt;1,N47/16&gt;10000),"",N47/16)</f>
      </c>
      <c r="L52" s="4"/>
      <c r="M52" s="43"/>
      <c r="N52" s="151">
        <f>INT((ABS(N47)-(N49/0.000027901785714)-(N50/0.00055803571429)-(N51/0.0044642857143))*0.0625)</f>
        <v>0</v>
      </c>
    </row>
    <row r="53" spans="2:14" ht="12.75">
      <c r="B53" s="60"/>
      <c r="C53" s="112"/>
      <c r="D53" s="397" t="s">
        <v>182</v>
      </c>
      <c r="E53" s="397"/>
      <c r="F53" s="112"/>
      <c r="G53" s="127" t="s">
        <v>10</v>
      </c>
      <c r="H53" s="127"/>
      <c r="I53" s="127"/>
      <c r="J53" s="127"/>
      <c r="K53" s="127" t="s">
        <v>4</v>
      </c>
      <c r="L53" s="112"/>
      <c r="M53" s="61"/>
      <c r="N53" s="116">
        <f>ABS(N47)-N49/0.000027901785714-N50/0.00055803571429-N51/0.0044642857143-N52/0.0625</f>
        <v>0</v>
      </c>
    </row>
    <row r="54" spans="2:13" ht="7.5" customHeight="1" thickBot="1">
      <c r="B54" s="128"/>
      <c r="C54" s="129"/>
      <c r="D54" s="137"/>
      <c r="E54" s="137"/>
      <c r="F54" s="129"/>
      <c r="G54" s="129"/>
      <c r="H54" s="129"/>
      <c r="I54" s="129"/>
      <c r="J54" s="129"/>
      <c r="K54" s="129"/>
      <c r="L54" s="129"/>
      <c r="M54" s="130"/>
    </row>
    <row r="55" spans="2:13" ht="7.5" customHeight="1" thickTop="1">
      <c r="B55" s="60"/>
      <c r="C55" s="112"/>
      <c r="D55" s="114"/>
      <c r="E55" s="114"/>
      <c r="F55" s="112"/>
      <c r="G55" s="112"/>
      <c r="H55" s="112"/>
      <c r="I55" s="112"/>
      <c r="J55" s="112"/>
      <c r="K55" s="112"/>
      <c r="L55" s="112"/>
      <c r="M55" s="61"/>
    </row>
    <row r="56" spans="2:14" ht="15.75">
      <c r="B56" s="60"/>
      <c r="C56" s="131" t="s">
        <v>80</v>
      </c>
      <c r="D56" s="114"/>
      <c r="E56" s="114"/>
      <c r="F56" s="112"/>
      <c r="G56" s="112"/>
      <c r="H56" s="112"/>
      <c r="I56" s="112"/>
      <c r="J56" s="112"/>
      <c r="K56" s="112"/>
      <c r="L56" s="112"/>
      <c r="M56" s="61"/>
      <c r="N56" s="116">
        <f>(D59*35.195079728)+(D67*35195.0542958894)</f>
        <v>0</v>
      </c>
    </row>
    <row r="57" spans="2:13" ht="7.5" customHeight="1">
      <c r="B57" s="60"/>
      <c r="C57" s="112"/>
      <c r="D57" s="114"/>
      <c r="E57" s="114"/>
      <c r="F57" s="112"/>
      <c r="G57" s="112"/>
      <c r="H57" s="112"/>
      <c r="I57" s="112"/>
      <c r="J57" s="112"/>
      <c r="K57" s="112"/>
      <c r="L57" s="112"/>
      <c r="M57" s="61"/>
    </row>
    <row r="58" spans="2:14" ht="12.75">
      <c r="B58" s="60"/>
      <c r="C58" s="112"/>
      <c r="D58" s="426" t="s">
        <v>183</v>
      </c>
      <c r="E58" s="426"/>
      <c r="F58" s="112"/>
      <c r="G58" s="112"/>
      <c r="H58" s="20" t="s">
        <v>88</v>
      </c>
      <c r="I58" s="20" t="s">
        <v>83</v>
      </c>
      <c r="J58" s="433" t="s">
        <v>86</v>
      </c>
      <c r="K58" s="433"/>
      <c r="L58" s="112"/>
      <c r="M58" s="61"/>
      <c r="N58" s="152">
        <f>INT(ABS(N56)/160)</f>
        <v>0</v>
      </c>
    </row>
    <row r="59" spans="2:14" s="11" customFormat="1" ht="15.75">
      <c r="B59" s="71"/>
      <c r="C59" s="113"/>
      <c r="D59" s="427"/>
      <c r="E59" s="428"/>
      <c r="F59" s="113"/>
      <c r="G59" s="113"/>
      <c r="H59" s="132">
        <f>IF(OR(N58&lt;0.001),"",N58)</f>
      </c>
      <c r="I59" s="124">
        <f>IF(OR(N59&lt;0.001),"",N59)</f>
      </c>
      <c r="J59" s="136">
        <f>IF(OR(N60&lt;0.5),"",N60)</f>
      </c>
      <c r="K59" s="22"/>
      <c r="L59" s="113"/>
      <c r="M59" s="126"/>
      <c r="N59" s="152">
        <f>INT((ABS(N56)-(N58*160))/20)</f>
        <v>0</v>
      </c>
    </row>
    <row r="60" spans="2:14" ht="12.75">
      <c r="B60" s="60"/>
      <c r="C60" s="112"/>
      <c r="D60" s="397" t="s">
        <v>82</v>
      </c>
      <c r="E60" s="397"/>
      <c r="F60" s="112"/>
      <c r="G60" s="112"/>
      <c r="H60" s="1" t="s">
        <v>100</v>
      </c>
      <c r="I60" s="1" t="s">
        <v>84</v>
      </c>
      <c r="J60" s="1" t="s">
        <v>103</v>
      </c>
      <c r="K60" s="17"/>
      <c r="L60" s="112"/>
      <c r="M60" s="61"/>
      <c r="N60" s="152">
        <f>ABS(N56)-N58*160-N59*20</f>
        <v>0</v>
      </c>
    </row>
    <row r="61" spans="2:14" ht="12.75">
      <c r="B61" s="60"/>
      <c r="C61" s="112"/>
      <c r="D61" s="114"/>
      <c r="E61" s="114"/>
      <c r="F61" s="112"/>
      <c r="G61" s="112"/>
      <c r="H61" s="1"/>
      <c r="I61" s="1"/>
      <c r="J61" s="1"/>
      <c r="K61" s="17"/>
      <c r="L61" s="112"/>
      <c r="M61" s="61"/>
      <c r="N61" s="152"/>
    </row>
    <row r="62" spans="2:14" ht="12.75">
      <c r="B62" s="60"/>
      <c r="C62" s="112"/>
      <c r="D62" s="114"/>
      <c r="E62" s="114"/>
      <c r="F62" s="112"/>
      <c r="G62" s="112"/>
      <c r="H62" s="1"/>
      <c r="I62" s="20" t="s">
        <v>200</v>
      </c>
      <c r="J62" s="1"/>
      <c r="K62" s="17"/>
      <c r="L62" s="112"/>
      <c r="M62" s="61"/>
      <c r="N62" s="152"/>
    </row>
    <row r="63" spans="2:14" ht="15.75" customHeight="1">
      <c r="B63" s="60"/>
      <c r="C63" s="112"/>
      <c r="D63" s="114"/>
      <c r="E63" s="114"/>
      <c r="F63" s="112"/>
      <c r="G63" s="112"/>
      <c r="H63" s="53" t="s">
        <v>197</v>
      </c>
      <c r="I63" s="150">
        <f>IF(OR(N56&lt;1,N56/20&gt;10000),"",N56/20)</f>
      </c>
      <c r="J63" s="1"/>
      <c r="K63" s="17"/>
      <c r="L63" s="112"/>
      <c r="M63" s="61"/>
      <c r="N63" s="152"/>
    </row>
    <row r="64" spans="2:14" ht="12.75">
      <c r="B64" s="60"/>
      <c r="C64" s="112"/>
      <c r="D64" s="114"/>
      <c r="E64" s="114"/>
      <c r="F64" s="112"/>
      <c r="G64" s="112"/>
      <c r="H64" s="1"/>
      <c r="I64" s="1" t="s">
        <v>84</v>
      </c>
      <c r="J64" s="1"/>
      <c r="K64" s="17"/>
      <c r="L64" s="112"/>
      <c r="M64" s="61"/>
      <c r="N64" s="152"/>
    </row>
    <row r="65" spans="2:14" ht="12.75">
      <c r="B65" s="60"/>
      <c r="C65" s="112"/>
      <c r="D65" s="114"/>
      <c r="E65" s="114"/>
      <c r="F65" s="112"/>
      <c r="G65" s="112"/>
      <c r="H65" s="1"/>
      <c r="I65" s="1"/>
      <c r="J65" s="1"/>
      <c r="K65" s="17"/>
      <c r="L65" s="112"/>
      <c r="M65" s="61"/>
      <c r="N65" s="152">
        <f>INT(ABS(N56)/26908.47)</f>
        <v>0</v>
      </c>
    </row>
    <row r="66" spans="2:14" ht="12.75">
      <c r="B66" s="60"/>
      <c r="C66" s="112"/>
      <c r="D66" s="398" t="s">
        <v>318</v>
      </c>
      <c r="E66" s="398"/>
      <c r="F66" s="112"/>
      <c r="G66" s="112"/>
      <c r="H66" s="1" t="s">
        <v>116</v>
      </c>
      <c r="I66" s="1" t="s">
        <v>115</v>
      </c>
      <c r="J66" s="1" t="s">
        <v>120</v>
      </c>
      <c r="K66" s="17"/>
      <c r="L66" s="112"/>
      <c r="M66" s="61"/>
      <c r="N66" s="152">
        <f>INT((ABS(N56)-(N65*26908.47))/996.61)</f>
        <v>0</v>
      </c>
    </row>
    <row r="67" spans="2:14" ht="15" customHeight="1">
      <c r="B67" s="60"/>
      <c r="C67" s="112"/>
      <c r="D67" s="399"/>
      <c r="E67" s="400"/>
      <c r="F67" s="112"/>
      <c r="G67" s="112"/>
      <c r="H67" s="310">
        <f>IF(OR(N65&lt;0.001),"",N65)</f>
      </c>
      <c r="I67" s="311">
        <f>IF(OR(N66&lt;0.001),"",N66)</f>
      </c>
      <c r="J67" s="312">
        <f>IF(OR(N67&lt;0.5),"",N67)</f>
      </c>
      <c r="K67" s="17"/>
      <c r="L67" s="112"/>
      <c r="M67" s="61"/>
      <c r="N67" s="152">
        <f>ABS(N56)-N65*26908.47-N66*996.61</f>
        <v>0</v>
      </c>
    </row>
    <row r="68" spans="2:14" ht="12.75">
      <c r="B68" s="60"/>
      <c r="C68" s="112"/>
      <c r="D68" s="397" t="s">
        <v>320</v>
      </c>
      <c r="E68" s="397"/>
      <c r="F68" s="112"/>
      <c r="G68" s="112"/>
      <c r="H68" s="1" t="s">
        <v>119</v>
      </c>
      <c r="I68" s="1" t="s">
        <v>118</v>
      </c>
      <c r="J68" s="1" t="s">
        <v>117</v>
      </c>
      <c r="K68" s="17"/>
      <c r="L68" s="112"/>
      <c r="M68" s="61"/>
      <c r="N68" s="152"/>
    </row>
    <row r="69" spans="2:14" ht="12.75" customHeight="1" thickBot="1">
      <c r="B69" s="128"/>
      <c r="C69" s="129"/>
      <c r="D69" s="137"/>
      <c r="E69" s="137"/>
      <c r="F69" s="129"/>
      <c r="G69" s="129"/>
      <c r="H69" s="80"/>
      <c r="I69" s="80"/>
      <c r="J69" s="80"/>
      <c r="K69" s="26"/>
      <c r="L69" s="129"/>
      <c r="M69" s="130"/>
      <c r="N69" s="152"/>
    </row>
    <row r="70" spans="2:14" ht="7.5" customHeight="1" thickTop="1">
      <c r="B70" s="60"/>
      <c r="C70" s="112"/>
      <c r="D70" s="114"/>
      <c r="E70" s="114"/>
      <c r="F70" s="112"/>
      <c r="G70" s="112"/>
      <c r="H70" s="1"/>
      <c r="I70" s="1"/>
      <c r="J70" s="1"/>
      <c r="K70" s="17"/>
      <c r="L70" s="112"/>
      <c r="M70" s="61"/>
      <c r="N70" s="152"/>
    </row>
    <row r="71" spans="2:14" ht="15.75">
      <c r="B71" s="60"/>
      <c r="C71" s="131" t="s">
        <v>136</v>
      </c>
      <c r="D71" s="114"/>
      <c r="E71" s="114"/>
      <c r="F71" s="112"/>
      <c r="G71" s="112"/>
      <c r="H71" s="1"/>
      <c r="I71" s="1"/>
      <c r="J71" s="1"/>
      <c r="K71" s="17"/>
      <c r="L71" s="112"/>
      <c r="M71" s="61"/>
      <c r="N71" s="152"/>
    </row>
    <row r="72" spans="2:14" ht="7.5" customHeight="1">
      <c r="B72" s="60"/>
      <c r="C72" s="112"/>
      <c r="D72" s="114"/>
      <c r="E72" s="114"/>
      <c r="F72" s="112"/>
      <c r="G72" s="112"/>
      <c r="H72" s="1"/>
      <c r="I72" s="1"/>
      <c r="J72" s="1"/>
      <c r="K72" s="17"/>
      <c r="L72" s="112"/>
      <c r="M72" s="61"/>
      <c r="N72" s="152"/>
    </row>
    <row r="73" spans="2:14" ht="12.75">
      <c r="B73" s="60"/>
      <c r="C73" s="112"/>
      <c r="D73" s="426" t="s">
        <v>184</v>
      </c>
      <c r="E73" s="426"/>
      <c r="F73" s="112"/>
      <c r="G73" s="433" t="s">
        <v>185</v>
      </c>
      <c r="H73" s="433"/>
      <c r="I73" s="1"/>
      <c r="J73" s="433" t="s">
        <v>186</v>
      </c>
      <c r="K73" s="433"/>
      <c r="L73" s="112"/>
      <c r="M73" s="61"/>
      <c r="N73" s="152"/>
    </row>
    <row r="74" spans="2:14" s="138" customFormat="1" ht="15.75">
      <c r="B74" s="21"/>
      <c r="C74" s="4"/>
      <c r="D74" s="427"/>
      <c r="E74" s="428"/>
      <c r="F74" s="4"/>
      <c r="G74" s="430">
        <f>IF(OR(D74=""),"",D74/1.609344)</f>
      </c>
      <c r="H74" s="430"/>
      <c r="I74" s="53"/>
      <c r="J74" s="437">
        <f>IF(OR(D74=""),"",D74*0.53995680346)</f>
      </c>
      <c r="K74" s="437"/>
      <c r="L74" s="4"/>
      <c r="M74" s="43"/>
      <c r="N74" s="153"/>
    </row>
    <row r="75" spans="2:14" ht="12.75">
      <c r="B75" s="60"/>
      <c r="C75" s="112"/>
      <c r="D75" s="397" t="s">
        <v>138</v>
      </c>
      <c r="E75" s="397"/>
      <c r="F75" s="112"/>
      <c r="G75" s="425" t="s">
        <v>137</v>
      </c>
      <c r="H75" s="425"/>
      <c r="I75" s="1"/>
      <c r="J75" s="425" t="s">
        <v>139</v>
      </c>
      <c r="K75" s="425"/>
      <c r="L75" s="112"/>
      <c r="M75" s="61"/>
      <c r="N75" s="152"/>
    </row>
    <row r="76" spans="2:14" ht="12.75" customHeight="1" thickBot="1">
      <c r="B76" s="128"/>
      <c r="C76" s="129"/>
      <c r="D76" s="137"/>
      <c r="E76" s="137"/>
      <c r="F76" s="129"/>
      <c r="G76" s="129"/>
      <c r="H76" s="80"/>
      <c r="I76" s="80"/>
      <c r="J76" s="80"/>
      <c r="K76" s="26"/>
      <c r="L76" s="129"/>
      <c r="M76" s="130"/>
      <c r="N76" s="152"/>
    </row>
    <row r="77" spans="2:14" ht="12.75" customHeight="1" thickTop="1">
      <c r="B77" s="60"/>
      <c r="C77" s="112"/>
      <c r="D77" s="114"/>
      <c r="E77" s="114"/>
      <c r="F77" s="112"/>
      <c r="G77" s="112"/>
      <c r="H77" s="1"/>
      <c r="I77" s="1"/>
      <c r="J77" s="1"/>
      <c r="K77" s="17"/>
      <c r="L77" s="112"/>
      <c r="M77" s="61"/>
      <c r="N77" s="152"/>
    </row>
    <row r="78" spans="2:13" ht="15.75">
      <c r="B78" s="60"/>
      <c r="C78" s="131" t="s">
        <v>121</v>
      </c>
      <c r="D78" s="114"/>
      <c r="E78" s="114"/>
      <c r="F78" s="112"/>
      <c r="G78" s="112"/>
      <c r="H78" s="112"/>
      <c r="I78" s="112"/>
      <c r="J78" s="112"/>
      <c r="K78" s="112"/>
      <c r="L78" s="112"/>
      <c r="M78" s="61"/>
    </row>
    <row r="79" spans="2:13" ht="7.5" customHeight="1">
      <c r="B79" s="60"/>
      <c r="C79" s="131"/>
      <c r="D79" s="114"/>
      <c r="E79" s="114"/>
      <c r="F79" s="112"/>
      <c r="G79" s="112"/>
      <c r="H79" s="112"/>
      <c r="I79" s="112"/>
      <c r="J79" s="112"/>
      <c r="K79" s="112"/>
      <c r="L79" s="112"/>
      <c r="M79" s="61"/>
    </row>
    <row r="80" spans="2:13" ht="12.75" customHeight="1">
      <c r="B80" s="60"/>
      <c r="C80" s="131"/>
      <c r="D80" s="433" t="s">
        <v>187</v>
      </c>
      <c r="E80" s="433"/>
      <c r="F80" s="112"/>
      <c r="G80" s="112"/>
      <c r="H80" s="112"/>
      <c r="I80" s="112"/>
      <c r="J80" s="112"/>
      <c r="K80" s="112"/>
      <c r="L80" s="112"/>
      <c r="M80" s="61"/>
    </row>
    <row r="81" spans="2:14" s="11" customFormat="1" ht="15.75" customHeight="1">
      <c r="B81" s="71"/>
      <c r="C81" s="131"/>
      <c r="D81" s="431"/>
      <c r="E81" s="432"/>
      <c r="F81" s="113"/>
      <c r="G81" s="113"/>
      <c r="H81" s="113"/>
      <c r="I81" s="113"/>
      <c r="J81" s="113"/>
      <c r="K81" s="113"/>
      <c r="L81" s="113"/>
      <c r="M81" s="126"/>
      <c r="N81" s="116">
        <f>D85*1000+D81</f>
        <v>0</v>
      </c>
    </row>
    <row r="82" spans="2:13" ht="12.75" customHeight="1">
      <c r="B82" s="60"/>
      <c r="C82" s="131"/>
      <c r="D82" s="425" t="s">
        <v>129</v>
      </c>
      <c r="E82" s="425"/>
      <c r="F82" s="112"/>
      <c r="G82" s="436" t="s">
        <v>188</v>
      </c>
      <c r="H82" s="436"/>
      <c r="I82" s="112"/>
      <c r="J82" s="433" t="s">
        <v>189</v>
      </c>
      <c r="K82" s="433"/>
      <c r="L82" s="112"/>
      <c r="M82" s="61"/>
    </row>
    <row r="83" spans="2:14" s="11" customFormat="1" ht="15.75" customHeight="1">
      <c r="B83" s="71"/>
      <c r="C83" s="131"/>
      <c r="D83" s="48"/>
      <c r="E83" s="48"/>
      <c r="F83" s="113"/>
      <c r="G83" s="434">
        <f>IF(OR(N81&lt;1),"",N81/33.863886667)</f>
      </c>
      <c r="H83" s="434"/>
      <c r="I83" s="113"/>
      <c r="J83" s="430">
        <f>IF(OR(N81&lt;1),"",N81/68.9475728)</f>
      </c>
      <c r="K83" s="430"/>
      <c r="L83" s="113"/>
      <c r="M83" s="126"/>
      <c r="N83" s="116"/>
    </row>
    <row r="84" spans="2:13" ht="12.75" customHeight="1">
      <c r="B84" s="60"/>
      <c r="C84" s="131"/>
      <c r="D84" s="433" t="s">
        <v>190</v>
      </c>
      <c r="E84" s="433"/>
      <c r="F84" s="112"/>
      <c r="G84" s="435" t="s">
        <v>125</v>
      </c>
      <c r="H84" s="435"/>
      <c r="I84" s="112"/>
      <c r="J84" s="425" t="s">
        <v>122</v>
      </c>
      <c r="K84" s="425"/>
      <c r="L84" s="112"/>
      <c r="M84" s="61"/>
    </row>
    <row r="85" spans="2:14" s="11" customFormat="1" ht="15.75" customHeight="1">
      <c r="B85" s="71"/>
      <c r="C85" s="131"/>
      <c r="D85" s="431"/>
      <c r="E85" s="432"/>
      <c r="F85" s="113"/>
      <c r="G85" s="113"/>
      <c r="H85" s="113"/>
      <c r="I85" s="113"/>
      <c r="J85" s="113"/>
      <c r="K85" s="113"/>
      <c r="L85" s="113"/>
      <c r="M85" s="126"/>
      <c r="N85" s="116"/>
    </row>
    <row r="86" spans="2:13" ht="12.75" customHeight="1">
      <c r="B86" s="60"/>
      <c r="C86" s="131"/>
      <c r="D86" s="425" t="s">
        <v>124</v>
      </c>
      <c r="E86" s="425"/>
      <c r="F86" s="112"/>
      <c r="G86" s="112"/>
      <c r="H86" s="112"/>
      <c r="I86" s="112"/>
      <c r="J86" s="112"/>
      <c r="K86" s="112"/>
      <c r="L86" s="112"/>
      <c r="M86" s="61"/>
    </row>
    <row r="87" spans="2:13" ht="12.75" customHeight="1" thickBot="1">
      <c r="B87" s="128"/>
      <c r="C87" s="139"/>
      <c r="D87" s="137"/>
      <c r="E87" s="137"/>
      <c r="F87" s="129"/>
      <c r="G87" s="129"/>
      <c r="H87" s="129"/>
      <c r="I87" s="129"/>
      <c r="J87" s="129"/>
      <c r="K87" s="129"/>
      <c r="L87" s="129"/>
      <c r="M87" s="130"/>
    </row>
    <row r="88" spans="2:13" ht="12.75" customHeight="1" thickTop="1">
      <c r="B88" s="60"/>
      <c r="C88" s="131"/>
      <c r="D88" s="114"/>
      <c r="E88" s="114"/>
      <c r="F88" s="112"/>
      <c r="G88" s="112"/>
      <c r="H88" s="112"/>
      <c r="I88" s="112"/>
      <c r="J88" s="112"/>
      <c r="K88" s="112"/>
      <c r="L88" s="112"/>
      <c r="M88" s="61"/>
    </row>
    <row r="89" spans="2:13" ht="12.75" customHeight="1">
      <c r="B89" s="60"/>
      <c r="C89" s="131" t="s">
        <v>154</v>
      </c>
      <c r="D89" s="114"/>
      <c r="E89" s="114"/>
      <c r="F89" s="112"/>
      <c r="G89" s="112"/>
      <c r="H89" s="112"/>
      <c r="I89" s="112"/>
      <c r="J89" s="112"/>
      <c r="K89" s="112"/>
      <c r="L89" s="112"/>
      <c r="M89" s="61"/>
    </row>
    <row r="90" spans="2:13" ht="7.5" customHeight="1">
      <c r="B90" s="60"/>
      <c r="C90" s="131"/>
      <c r="D90" s="114"/>
      <c r="E90" s="114"/>
      <c r="F90" s="112"/>
      <c r="G90" s="112"/>
      <c r="H90" s="112"/>
      <c r="I90" s="112"/>
      <c r="J90" s="112"/>
      <c r="K90" s="112"/>
      <c r="L90" s="112"/>
      <c r="M90" s="61"/>
    </row>
    <row r="91" spans="2:13" ht="12.75" customHeight="1">
      <c r="B91" s="60"/>
      <c r="C91" s="131"/>
      <c r="D91" s="426" t="s">
        <v>191</v>
      </c>
      <c r="E91" s="426"/>
      <c r="F91" s="112"/>
      <c r="G91" s="112"/>
      <c r="H91" s="426" t="s">
        <v>192</v>
      </c>
      <c r="I91" s="426"/>
      <c r="J91" s="112"/>
      <c r="K91" s="112"/>
      <c r="L91" s="112"/>
      <c r="M91" s="61"/>
    </row>
    <row r="92" spans="2:13" ht="15.75" customHeight="1">
      <c r="B92" s="60"/>
      <c r="C92" s="131"/>
      <c r="D92" s="427"/>
      <c r="E92" s="428"/>
      <c r="F92" s="112"/>
      <c r="G92" s="112"/>
      <c r="H92" s="430">
        <f>IF(OR(D92=""),"",D92/1.3558179483314)</f>
      </c>
      <c r="I92" s="430"/>
      <c r="J92" s="112"/>
      <c r="K92" s="112"/>
      <c r="L92" s="112"/>
      <c r="M92" s="61"/>
    </row>
    <row r="93" spans="2:13" ht="12.75" customHeight="1">
      <c r="B93" s="60"/>
      <c r="C93" s="131"/>
      <c r="D93" s="425" t="s">
        <v>76</v>
      </c>
      <c r="E93" s="425"/>
      <c r="F93" s="112"/>
      <c r="G93" s="112"/>
      <c r="H93" s="425" t="s">
        <v>155</v>
      </c>
      <c r="I93" s="425"/>
      <c r="J93" s="112"/>
      <c r="K93" s="112"/>
      <c r="L93" s="112"/>
      <c r="M93" s="61"/>
    </row>
    <row r="94" spans="2:13" ht="12.75" customHeight="1" thickBot="1">
      <c r="B94" s="128"/>
      <c r="C94" s="139"/>
      <c r="D94" s="137"/>
      <c r="E94" s="137"/>
      <c r="F94" s="129"/>
      <c r="G94" s="129"/>
      <c r="H94" s="129"/>
      <c r="I94" s="129"/>
      <c r="J94" s="129"/>
      <c r="K94" s="129"/>
      <c r="L94" s="129"/>
      <c r="M94" s="130"/>
    </row>
    <row r="95" spans="2:13" ht="7.5" customHeight="1" thickTop="1">
      <c r="B95" s="60"/>
      <c r="C95" s="131"/>
      <c r="D95" s="114"/>
      <c r="E95" s="114"/>
      <c r="F95" s="112"/>
      <c r="G95" s="112"/>
      <c r="H95" s="112"/>
      <c r="I95" s="112"/>
      <c r="J95" s="112"/>
      <c r="K95" s="112"/>
      <c r="L95" s="112"/>
      <c r="M95" s="61"/>
    </row>
    <row r="96" spans="2:13" ht="12.75" customHeight="1">
      <c r="B96" s="60"/>
      <c r="C96" s="131" t="s">
        <v>50</v>
      </c>
      <c r="D96" s="114"/>
      <c r="E96" s="114"/>
      <c r="F96" s="112"/>
      <c r="G96" s="112"/>
      <c r="H96" s="112"/>
      <c r="I96" s="112"/>
      <c r="J96" s="112"/>
      <c r="K96" s="112"/>
      <c r="L96" s="112"/>
      <c r="M96" s="61"/>
    </row>
    <row r="97" spans="2:13" ht="7.5" customHeight="1">
      <c r="B97" s="60"/>
      <c r="C97" s="131"/>
      <c r="D97" s="114"/>
      <c r="E97" s="114"/>
      <c r="F97" s="112"/>
      <c r="G97" s="112"/>
      <c r="H97" s="112"/>
      <c r="I97" s="112"/>
      <c r="J97" s="112"/>
      <c r="K97" s="112"/>
      <c r="L97" s="112"/>
      <c r="M97" s="61"/>
    </row>
    <row r="98" spans="2:13" ht="12.75" customHeight="1">
      <c r="B98" s="60"/>
      <c r="C98" s="131"/>
      <c r="D98" s="426" t="s">
        <v>193</v>
      </c>
      <c r="E98" s="426"/>
      <c r="F98" s="112"/>
      <c r="G98" s="112"/>
      <c r="H98" s="426" t="s">
        <v>194</v>
      </c>
      <c r="I98" s="426"/>
      <c r="J98" s="112"/>
      <c r="K98" s="112"/>
      <c r="L98" s="112"/>
      <c r="M98" s="61"/>
    </row>
    <row r="99" spans="2:13" ht="15.75" customHeight="1">
      <c r="B99" s="60"/>
      <c r="C99" s="131"/>
      <c r="D99" s="427"/>
      <c r="E99" s="428"/>
      <c r="F99" s="112"/>
      <c r="G99" s="112"/>
      <c r="H99" s="429">
        <f>IF(OR(D99=""),"",(D99*9/5)+32)</f>
      </c>
      <c r="I99" s="429"/>
      <c r="J99" s="112"/>
      <c r="K99" s="112"/>
      <c r="L99" s="112"/>
      <c r="M99" s="61"/>
    </row>
    <row r="100" spans="2:13" ht="12.75" customHeight="1">
      <c r="B100" s="60"/>
      <c r="C100" s="131"/>
      <c r="D100" s="425" t="s">
        <v>55</v>
      </c>
      <c r="E100" s="425"/>
      <c r="F100" s="112"/>
      <c r="G100" s="112"/>
      <c r="H100" s="425" t="s">
        <v>56</v>
      </c>
      <c r="I100" s="425"/>
      <c r="J100" s="112"/>
      <c r="K100" s="112"/>
      <c r="L100" s="112"/>
      <c r="M100" s="61"/>
    </row>
    <row r="101" spans="2:13" ht="7.5" customHeight="1" thickBot="1"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7"/>
    </row>
  </sheetData>
  <mergeCells count="70">
    <mergeCell ref="J2:M2"/>
    <mergeCell ref="J3:M3"/>
    <mergeCell ref="C13:E13"/>
    <mergeCell ref="D14:E14"/>
    <mergeCell ref="D9:E9"/>
    <mergeCell ref="D15:E15"/>
    <mergeCell ref="C17:E17"/>
    <mergeCell ref="B2:I3"/>
    <mergeCell ref="D18:E18"/>
    <mergeCell ref="D19:E19"/>
    <mergeCell ref="C25:E25"/>
    <mergeCell ref="D26:E26"/>
    <mergeCell ref="D27:E27"/>
    <mergeCell ref="D23:E23"/>
    <mergeCell ref="D22:E22"/>
    <mergeCell ref="C21:E21"/>
    <mergeCell ref="D36:E36"/>
    <mergeCell ref="D37:E37"/>
    <mergeCell ref="D38:E38"/>
    <mergeCell ref="D32:E32"/>
    <mergeCell ref="D33:E33"/>
    <mergeCell ref="D40:E40"/>
    <mergeCell ref="D41:E41"/>
    <mergeCell ref="D42:E42"/>
    <mergeCell ref="D47:E47"/>
    <mergeCell ref="D48:E48"/>
    <mergeCell ref="D49:E49"/>
    <mergeCell ref="D51:E51"/>
    <mergeCell ref="D52:E52"/>
    <mergeCell ref="D53:E53"/>
    <mergeCell ref="D58:E58"/>
    <mergeCell ref="J58:K58"/>
    <mergeCell ref="D59:E59"/>
    <mergeCell ref="D60:E60"/>
    <mergeCell ref="D73:E73"/>
    <mergeCell ref="G73:H73"/>
    <mergeCell ref="J73:K73"/>
    <mergeCell ref="D68:E68"/>
    <mergeCell ref="D66:E66"/>
    <mergeCell ref="D67:E67"/>
    <mergeCell ref="D74:E74"/>
    <mergeCell ref="G74:H74"/>
    <mergeCell ref="J74:K74"/>
    <mergeCell ref="D75:E75"/>
    <mergeCell ref="G75:H75"/>
    <mergeCell ref="J75:K75"/>
    <mergeCell ref="D80:E80"/>
    <mergeCell ref="D81:E81"/>
    <mergeCell ref="D82:E82"/>
    <mergeCell ref="G82:H82"/>
    <mergeCell ref="J82:K82"/>
    <mergeCell ref="G83:H83"/>
    <mergeCell ref="J83:K83"/>
    <mergeCell ref="D84:E84"/>
    <mergeCell ref="G84:H84"/>
    <mergeCell ref="J84:K84"/>
    <mergeCell ref="D85:E85"/>
    <mergeCell ref="D86:E86"/>
    <mergeCell ref="D91:E91"/>
    <mergeCell ref="H91:I91"/>
    <mergeCell ref="D92:E92"/>
    <mergeCell ref="H92:I92"/>
    <mergeCell ref="D93:E93"/>
    <mergeCell ref="H93:I93"/>
    <mergeCell ref="D100:E100"/>
    <mergeCell ref="H100:I100"/>
    <mergeCell ref="D98:E98"/>
    <mergeCell ref="H98:I98"/>
    <mergeCell ref="D99:E99"/>
    <mergeCell ref="H99:I99"/>
  </mergeCells>
  <conditionalFormatting sqref="K17 K19:K23 K13 K15">
    <cfRule type="cellIs" priority="1" dxfId="0" operator="equal" stopIfTrue="1">
      <formula>"  Re-enter"</formula>
    </cfRule>
  </conditionalFormatting>
  <conditionalFormatting sqref="D9">
    <cfRule type="cellIs" priority="2" dxfId="1" operator="greaterThan" stopIfTrue="1">
      <formula>0.999999</formula>
    </cfRule>
  </conditionalFormatting>
  <dataValidations count="2">
    <dataValidation type="decimal" allowBlank="1" showInputMessage="1" showErrorMessage="1" errorTitle="Please Re-enter" error="Enter 0.00001 to 0.999999 only" sqref="D9:E9">
      <formula1>0.000001</formula1>
      <formula2>0.999999</formula2>
    </dataValidation>
    <dataValidation type="decimal" operator="greaterThan" allowBlank="1" showInputMessage="1" showErrorMessage="1" errorTitle="Please Re-emter" error="Numbers Only" sqref="D14:E14 D18:E18 D22:E22 D26:E26 D33:E33 D37:E37 D41:E41 D48:E48 D52:E52 D59:E59 D67:E67 D74:E74 D81:E81 D85:E85 D92:E92 D99:E99">
      <formula1>0.000001</formula1>
    </dataValidation>
  </dataValidations>
  <hyperlinks>
    <hyperlink ref="J3" r:id="rId1" display="www.ajhw.co.uk"/>
    <hyperlink ref="J2:M2" location="Introduction!A1" display="A.J.H. Computer Services"/>
  </hyperlinks>
  <printOptions horizontalCentered="1" verticalCentered="1"/>
  <pageMargins left="0.7480314960629921" right="0.7480314960629921" top="0.7086614173228347" bottom="0.52" header="0.35433070866141736" footer="0.2755905511811024"/>
  <pageSetup horizontalDpi="300" verticalDpi="300" orientation="landscape" paperSize="9" r:id="rId4"/>
  <headerFooter alignWithMargins="0">
    <oddHeader>&amp;LBritish Imperial units Conversions - Converting to British Imperial units&amp;RDownloaded from www.ajhw.co.uk</oddHeader>
    <oddFooter>&amp;LA.J.H. Computer Services&amp;R© AJH 2016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11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.421875" style="5" customWidth="1"/>
    <col min="3" max="3" width="2.8515625" style="6" customWidth="1"/>
    <col min="4" max="4" width="4.57421875" style="6" customWidth="1"/>
    <col min="5" max="6" width="4.140625" style="6" customWidth="1"/>
    <col min="7" max="7" width="13.8515625" style="5" customWidth="1"/>
    <col min="8" max="9" width="12.8515625" style="5" customWidth="1"/>
    <col min="10" max="10" width="13.57421875" style="5" customWidth="1"/>
    <col min="11" max="11" width="4.28125" style="5" customWidth="1"/>
    <col min="12" max="12" width="8.57421875" style="5" customWidth="1"/>
    <col min="13" max="13" width="4.8515625" style="5" customWidth="1"/>
    <col min="14" max="14" width="10.7109375" style="5" customWidth="1"/>
    <col min="15" max="15" width="6.140625" style="5" customWidth="1"/>
    <col min="16" max="16" width="1.421875" style="6" customWidth="1"/>
    <col min="17" max="17" width="4.8515625" style="89" hidden="1" customWidth="1"/>
    <col min="18" max="18" width="0" style="5" hidden="1" customWidth="1"/>
    <col min="19" max="16384" width="9.140625" style="5" customWidth="1"/>
  </cols>
  <sheetData>
    <row r="1" ht="7.5" customHeight="1" thickBot="1"/>
    <row r="2" spans="2:22" ht="18.75" customHeight="1">
      <c r="B2" s="403" t="s">
        <v>13</v>
      </c>
      <c r="C2" s="404"/>
      <c r="D2" s="404"/>
      <c r="E2" s="404"/>
      <c r="F2" s="404"/>
      <c r="G2" s="404"/>
      <c r="H2" s="404"/>
      <c r="I2" s="404"/>
      <c r="J2" s="404"/>
      <c r="K2" s="404"/>
      <c r="L2" s="394" t="s">
        <v>1</v>
      </c>
      <c r="M2" s="394"/>
      <c r="N2" s="394"/>
      <c r="O2" s="394"/>
      <c r="P2" s="395"/>
      <c r="Q2" s="94"/>
      <c r="R2" s="9"/>
      <c r="S2" s="9"/>
      <c r="T2" s="9"/>
      <c r="U2" s="9"/>
      <c r="V2" s="9"/>
    </row>
    <row r="3" spans="2:22" ht="12.75" customHeight="1" thickBot="1">
      <c r="B3" s="405"/>
      <c r="C3" s="393"/>
      <c r="D3" s="393"/>
      <c r="E3" s="393"/>
      <c r="F3" s="393"/>
      <c r="G3" s="393"/>
      <c r="H3" s="393"/>
      <c r="I3" s="393"/>
      <c r="J3" s="393"/>
      <c r="K3" s="393"/>
      <c r="L3" s="396" t="s">
        <v>0</v>
      </c>
      <c r="M3" s="396"/>
      <c r="N3" s="396"/>
      <c r="O3" s="396"/>
      <c r="P3" s="383"/>
      <c r="Q3" s="94"/>
      <c r="R3" s="9"/>
      <c r="S3" s="9"/>
      <c r="T3" s="9"/>
      <c r="U3" s="9"/>
      <c r="V3" s="9"/>
    </row>
    <row r="4" spans="2:22" ht="13.5" thickTop="1">
      <c r="B4" s="16"/>
      <c r="C4" s="17"/>
      <c r="D4" s="29"/>
      <c r="E4" s="29"/>
      <c r="F4" s="29"/>
      <c r="G4" s="17"/>
      <c r="H4" s="17"/>
      <c r="I4" s="17"/>
      <c r="J4" s="17"/>
      <c r="K4" s="17"/>
      <c r="L4" s="17"/>
      <c r="M4" s="20"/>
      <c r="N4" s="20"/>
      <c r="O4" s="20"/>
      <c r="P4" s="18"/>
      <c r="Q4" s="89" t="s">
        <v>228</v>
      </c>
      <c r="R4" s="9">
        <v>1</v>
      </c>
      <c r="S4" s="9"/>
      <c r="T4" s="9"/>
      <c r="U4" s="9"/>
      <c r="V4" s="9"/>
    </row>
    <row r="5" spans="2:22" ht="18">
      <c r="B5" s="16"/>
      <c r="C5" s="45" t="s">
        <v>143</v>
      </c>
      <c r="D5" s="29"/>
      <c r="E5" s="29"/>
      <c r="F5" s="29"/>
      <c r="G5" s="17"/>
      <c r="H5" s="17"/>
      <c r="I5" s="17"/>
      <c r="J5" s="17"/>
      <c r="K5" s="17"/>
      <c r="L5" s="17"/>
      <c r="M5" s="20"/>
      <c r="N5" s="20"/>
      <c r="O5" s="20"/>
      <c r="P5" s="18"/>
      <c r="Q5" s="89" t="s">
        <v>322</v>
      </c>
      <c r="R5" s="9">
        <f>R4+1</f>
        <v>2</v>
      </c>
      <c r="S5" s="9"/>
      <c r="T5" s="9"/>
      <c r="U5" s="9"/>
      <c r="V5" s="9"/>
    </row>
    <row r="6" spans="2:22" ht="6" customHeight="1">
      <c r="B6" s="16"/>
      <c r="C6" s="17"/>
      <c r="D6" s="29"/>
      <c r="E6" s="29"/>
      <c r="F6" s="29"/>
      <c r="G6" s="17"/>
      <c r="H6" s="17"/>
      <c r="I6" s="17"/>
      <c r="J6" s="17"/>
      <c r="K6" s="17"/>
      <c r="L6" s="17"/>
      <c r="M6" s="20"/>
      <c r="N6" s="20"/>
      <c r="O6" s="20"/>
      <c r="P6" s="18"/>
      <c r="R6" s="9">
        <f aca="true" t="shared" si="0" ref="R6:R68">R5+1</f>
        <v>3</v>
      </c>
      <c r="S6" s="9"/>
      <c r="T6" s="9"/>
      <c r="U6" s="9"/>
      <c r="V6" s="9"/>
    </row>
    <row r="7" spans="2:22" ht="12.75">
      <c r="B7" s="16"/>
      <c r="C7" s="81"/>
      <c r="D7" s="433" t="s">
        <v>151</v>
      </c>
      <c r="E7" s="433"/>
      <c r="F7" s="433"/>
      <c r="G7" s="29" t="s">
        <v>146</v>
      </c>
      <c r="H7" s="29" t="s">
        <v>144</v>
      </c>
      <c r="I7" s="29" t="s">
        <v>145</v>
      </c>
      <c r="J7" s="29" t="s">
        <v>147</v>
      </c>
      <c r="K7" s="425"/>
      <c r="L7" s="425"/>
      <c r="M7" s="1"/>
      <c r="N7" s="1"/>
      <c r="O7" s="20"/>
      <c r="P7" s="18"/>
      <c r="R7" s="9">
        <f t="shared" si="0"/>
        <v>4</v>
      </c>
      <c r="S7" s="9"/>
      <c r="T7" s="9"/>
      <c r="U7" s="9"/>
      <c r="V7" s="9"/>
    </row>
    <row r="8" spans="2:22" s="11" customFormat="1" ht="15.75">
      <c r="B8" s="21"/>
      <c r="C8" s="303"/>
      <c r="D8" s="392"/>
      <c r="E8" s="372"/>
      <c r="F8" s="372"/>
      <c r="G8" s="304"/>
      <c r="H8" s="304"/>
      <c r="I8" s="304"/>
      <c r="J8" s="313"/>
      <c r="K8" s="390"/>
      <c r="L8" s="390"/>
      <c r="M8" s="90"/>
      <c r="N8" s="429">
        <f>IF(OR(Q8=0),"",Q8)</f>
      </c>
      <c r="O8" s="389"/>
      <c r="P8" s="23"/>
      <c r="Q8" s="89">
        <f>D8*1728+G8*144+H8*120+I8*13+J8*12+H11*2+I11+D15*4800+G15*960+H15*480+I15*24</f>
        <v>0</v>
      </c>
      <c r="R8" s="9">
        <f t="shared" si="0"/>
        <v>5</v>
      </c>
      <c r="S8" s="10"/>
      <c r="T8" s="10"/>
      <c r="U8" s="10"/>
      <c r="V8" s="10"/>
    </row>
    <row r="9" spans="2:22" ht="7.5" customHeight="1">
      <c r="B9" s="16"/>
      <c r="C9" s="425"/>
      <c r="D9" s="425"/>
      <c r="E9" s="1"/>
      <c r="F9" s="1"/>
      <c r="G9" s="17"/>
      <c r="H9" s="1"/>
      <c r="I9" s="1"/>
      <c r="J9" s="81"/>
      <c r="K9" s="81"/>
      <c r="L9" s="17"/>
      <c r="M9" s="425"/>
      <c r="N9" s="425"/>
      <c r="O9" s="20"/>
      <c r="P9" s="18"/>
      <c r="Q9" s="89">
        <f>IF(OR(F21=0),"",(1/F21)*E20)</f>
      </c>
      <c r="R9" s="9">
        <f t="shared" si="0"/>
        <v>6</v>
      </c>
      <c r="S9" s="9"/>
      <c r="T9" s="9"/>
      <c r="U9" s="9"/>
      <c r="V9" s="9"/>
    </row>
    <row r="10" spans="2:22" ht="12.75">
      <c r="B10" s="16"/>
      <c r="C10" s="1"/>
      <c r="D10" s="1"/>
      <c r="E10" s="1"/>
      <c r="F10" s="1"/>
      <c r="G10" s="17"/>
      <c r="H10" s="1" t="s">
        <v>148</v>
      </c>
      <c r="I10" s="1" t="s">
        <v>252</v>
      </c>
      <c r="J10" s="81"/>
      <c r="K10" s="81"/>
      <c r="L10" s="17"/>
      <c r="M10" s="1"/>
      <c r="N10" s="1"/>
      <c r="O10" s="20"/>
      <c r="P10" s="18"/>
      <c r="Q10" s="89" t="s">
        <v>325</v>
      </c>
      <c r="R10" s="9">
        <f t="shared" si="0"/>
        <v>7</v>
      </c>
      <c r="S10" s="9"/>
      <c r="T10" s="9"/>
      <c r="U10" s="9"/>
      <c r="V10" s="9"/>
    </row>
    <row r="11" spans="2:22" ht="15.75">
      <c r="B11" s="16"/>
      <c r="C11" s="1"/>
      <c r="D11" s="1"/>
      <c r="E11" s="1"/>
      <c r="F11" s="1"/>
      <c r="G11" s="17"/>
      <c r="H11" s="314"/>
      <c r="I11" s="315"/>
      <c r="J11" s="81"/>
      <c r="K11" s="81"/>
      <c r="L11" s="17"/>
      <c r="M11" s="1"/>
      <c r="N11" s="1"/>
      <c r="O11" s="20"/>
      <c r="P11" s="18"/>
      <c r="Q11" s="89" t="s">
        <v>326</v>
      </c>
      <c r="R11" s="9">
        <f t="shared" si="0"/>
        <v>8</v>
      </c>
      <c r="S11" s="9"/>
      <c r="T11" s="9"/>
      <c r="U11" s="9"/>
      <c r="V11" s="9"/>
    </row>
    <row r="12" spans="2:22" ht="12.75">
      <c r="B12" s="16"/>
      <c r="C12" s="1"/>
      <c r="D12" s="1"/>
      <c r="E12" s="1"/>
      <c r="F12" s="1"/>
      <c r="G12" s="17"/>
      <c r="H12" s="1"/>
      <c r="I12" s="1"/>
      <c r="J12" s="112"/>
      <c r="K12" s="81"/>
      <c r="L12" s="17"/>
      <c r="M12" s="1"/>
      <c r="N12" s="1"/>
      <c r="O12" s="20"/>
      <c r="P12" s="18"/>
      <c r="R12" s="9">
        <f t="shared" si="0"/>
        <v>9</v>
      </c>
      <c r="S12" s="9"/>
      <c r="T12" s="9"/>
      <c r="U12" s="9"/>
      <c r="V12" s="9"/>
    </row>
    <row r="13" spans="2:22" ht="12.75">
      <c r="B13" s="16"/>
      <c r="C13" s="91" t="s">
        <v>149</v>
      </c>
      <c r="D13" s="1"/>
      <c r="E13" s="1"/>
      <c r="F13" s="1"/>
      <c r="G13" s="17"/>
      <c r="H13" s="1"/>
      <c r="I13" s="1"/>
      <c r="J13" s="81"/>
      <c r="K13" s="81"/>
      <c r="L13" s="17"/>
      <c r="M13" s="1"/>
      <c r="N13" s="1"/>
      <c r="O13" s="20"/>
      <c r="P13" s="18"/>
      <c r="R13" s="9">
        <f t="shared" si="0"/>
        <v>10</v>
      </c>
      <c r="S13" s="9"/>
      <c r="T13" s="9"/>
      <c r="U13" s="9"/>
      <c r="V13" s="9"/>
    </row>
    <row r="14" spans="2:22" ht="12.75">
      <c r="B14" s="16"/>
      <c r="C14" s="20"/>
      <c r="D14" s="433" t="s">
        <v>163</v>
      </c>
      <c r="E14" s="433"/>
      <c r="F14" s="433"/>
      <c r="G14" s="20" t="s">
        <v>164</v>
      </c>
      <c r="H14" s="20" t="s">
        <v>165</v>
      </c>
      <c r="I14" s="20" t="s">
        <v>166</v>
      </c>
      <c r="J14" s="81"/>
      <c r="K14" s="81"/>
      <c r="L14" s="20" t="s">
        <v>212</v>
      </c>
      <c r="M14" s="1"/>
      <c r="N14" s="1"/>
      <c r="O14" s="20"/>
      <c r="P14" s="18"/>
      <c r="R14" s="9">
        <f t="shared" si="0"/>
        <v>11</v>
      </c>
      <c r="S14" s="9"/>
      <c r="T14" s="9"/>
      <c r="U14" s="9"/>
      <c r="V14" s="9"/>
    </row>
    <row r="15" spans="2:22" s="11" customFormat="1" ht="15.75">
      <c r="B15" s="21"/>
      <c r="C15" s="55"/>
      <c r="D15" s="392"/>
      <c r="E15" s="372"/>
      <c r="F15" s="372"/>
      <c r="G15" s="304"/>
      <c r="H15" s="304"/>
      <c r="I15" s="313"/>
      <c r="J15" s="92"/>
      <c r="K15" s="92"/>
      <c r="L15" s="374">
        <f>IF(OR(Q8&gt;3999),"Greater than 3999",Q15)</f>
      </c>
      <c r="M15" s="374"/>
      <c r="N15" s="374"/>
      <c r="O15" s="48"/>
      <c r="P15" s="23"/>
      <c r="Q15" s="89">
        <f>ROMAN(Q8,0)</f>
      </c>
      <c r="R15" s="9">
        <f t="shared" si="0"/>
        <v>12</v>
      </c>
      <c r="S15" s="10"/>
      <c r="T15" s="10"/>
      <c r="U15" s="10"/>
      <c r="V15" s="10"/>
    </row>
    <row r="16" spans="2:22" s="11" customFormat="1" ht="7.5" customHeight="1" thickBot="1">
      <c r="B16" s="95"/>
      <c r="C16" s="96"/>
      <c r="D16" s="97"/>
      <c r="E16" s="97"/>
      <c r="F16" s="97"/>
      <c r="G16" s="97"/>
      <c r="H16" s="97"/>
      <c r="I16" s="97"/>
      <c r="J16" s="98"/>
      <c r="K16" s="98"/>
      <c r="L16" s="99"/>
      <c r="M16" s="100"/>
      <c r="N16" s="100"/>
      <c r="O16" s="101"/>
      <c r="P16" s="102"/>
      <c r="Q16" s="89"/>
      <c r="R16" s="9">
        <f t="shared" si="0"/>
        <v>13</v>
      </c>
      <c r="S16" s="10"/>
      <c r="T16" s="10"/>
      <c r="U16" s="10"/>
      <c r="V16" s="10"/>
    </row>
    <row r="17" spans="2:22" ht="7.5" customHeight="1" thickTop="1">
      <c r="B17" s="16"/>
      <c r="C17" s="1"/>
      <c r="D17" s="1"/>
      <c r="E17" s="1"/>
      <c r="F17" s="1"/>
      <c r="G17" s="17"/>
      <c r="H17" s="1"/>
      <c r="I17" s="1"/>
      <c r="J17" s="81"/>
      <c r="K17" s="81"/>
      <c r="L17" s="17"/>
      <c r="M17" s="1"/>
      <c r="N17" s="1"/>
      <c r="O17" s="20"/>
      <c r="P17" s="18"/>
      <c r="R17" s="9">
        <f t="shared" si="0"/>
        <v>14</v>
      </c>
      <c r="S17" s="9"/>
      <c r="T17" s="9"/>
      <c r="U17" s="9"/>
      <c r="V17" s="9"/>
    </row>
    <row r="18" spans="2:22" ht="15.75" customHeight="1">
      <c r="B18" s="16"/>
      <c r="C18" s="103" t="s">
        <v>150</v>
      </c>
      <c r="D18" s="1"/>
      <c r="E18" s="1"/>
      <c r="F18" s="1"/>
      <c r="G18" s="373" t="s">
        <v>153</v>
      </c>
      <c r="H18" s="373"/>
      <c r="I18" s="373"/>
      <c r="J18" s="373"/>
      <c r="K18" s="373"/>
      <c r="L18" s="373"/>
      <c r="M18" s="373"/>
      <c r="N18" s="373"/>
      <c r="O18" s="373"/>
      <c r="P18" s="18"/>
      <c r="Q18" s="89">
        <f>IF(OR(F21=""),5,0)</f>
        <v>5</v>
      </c>
      <c r="R18" s="9">
        <f t="shared" si="0"/>
        <v>15</v>
      </c>
      <c r="S18" s="9"/>
      <c r="T18" s="9"/>
      <c r="U18" s="9"/>
      <c r="V18" s="9"/>
    </row>
    <row r="19" spans="2:22" ht="19.5" customHeight="1">
      <c r="B19" s="16"/>
      <c r="C19" s="103"/>
      <c r="D19" s="1"/>
      <c r="E19" s="1"/>
      <c r="F19" s="1"/>
      <c r="G19" s="373"/>
      <c r="H19" s="373"/>
      <c r="I19" s="373"/>
      <c r="J19" s="373"/>
      <c r="K19" s="373"/>
      <c r="L19" s="373"/>
      <c r="M19" s="373"/>
      <c r="N19" s="373"/>
      <c r="O19" s="373"/>
      <c r="P19" s="18"/>
      <c r="Q19" s="89">
        <f>IF(OR(E20=""),5,0)</f>
        <v>5</v>
      </c>
      <c r="R19" s="9">
        <f t="shared" si="0"/>
        <v>16</v>
      </c>
      <c r="S19" s="9"/>
      <c r="T19" s="9"/>
      <c r="U19" s="9"/>
      <c r="V19" s="9"/>
    </row>
    <row r="20" spans="2:22" ht="15" customHeight="1" thickBot="1">
      <c r="B20" s="16"/>
      <c r="C20" s="1"/>
      <c r="D20" s="1"/>
      <c r="E20" s="361"/>
      <c r="F20" s="93"/>
      <c r="G20" s="106">
        <f>IF(OR(Q22&lt;2),"    Please Re-enter","")</f>
      </c>
      <c r="H20" s="109"/>
      <c r="I20" s="109"/>
      <c r="J20" s="109"/>
      <c r="K20" s="109"/>
      <c r="L20" s="109"/>
      <c r="M20" s="111">
        <f>IF(OR(Q22&gt;2,Q22&lt;2),"",E20)</f>
      </c>
      <c r="N20" s="107"/>
      <c r="O20" s="109"/>
      <c r="P20" s="18"/>
      <c r="Q20" s="89">
        <f>IF(OR(E20&gt;999,E20&lt;0),0,1)</f>
        <v>1</v>
      </c>
      <c r="R20" s="9">
        <f t="shared" si="0"/>
        <v>17</v>
      </c>
      <c r="S20" s="9"/>
      <c r="T20" s="9"/>
      <c r="U20" s="9"/>
      <c r="V20" s="9"/>
    </row>
    <row r="21" spans="2:22" ht="15" customHeight="1" thickTop="1">
      <c r="B21" s="16"/>
      <c r="C21" s="1"/>
      <c r="D21" s="1"/>
      <c r="E21" s="93"/>
      <c r="F21" s="361"/>
      <c r="G21" s="105">
        <f>IF(OR(Q22&gt;2,Q22&lt;2),"",E20)</f>
      </c>
      <c r="H21" s="20">
        <f>IF(OR(Q22&gt;2,Q22&lt;2),""," parts of a whole that has been divide into")</f>
      </c>
      <c r="I21" s="1"/>
      <c r="J21" s="108"/>
      <c r="K21" s="14">
        <f>IF(OR(Q22&gt;2,Q22&lt;2),"",F21)</f>
      </c>
      <c r="L21" s="69">
        <f>IF(OR(Q22&gt;2,Q22&lt;2),"","parts")</f>
      </c>
      <c r="M21" s="110">
        <f>IF(OR(Q22&gt;2,Q22&lt;2),"",F21)</f>
      </c>
      <c r="N21" s="107"/>
      <c r="O21" s="107"/>
      <c r="P21" s="18"/>
      <c r="Q21" s="89">
        <f>IF(OR(F21&gt;999,F21&lt;0),0,1)</f>
        <v>1</v>
      </c>
      <c r="R21" s="9">
        <f t="shared" si="0"/>
        <v>18</v>
      </c>
      <c r="S21" s="9"/>
      <c r="T21" s="9"/>
      <c r="U21" s="9"/>
      <c r="V21" s="9"/>
    </row>
    <row r="22" spans="2:22" ht="7.5" customHeight="1">
      <c r="B22" s="16"/>
      <c r="C22" s="1"/>
      <c r="D22" s="1"/>
      <c r="E22" s="1"/>
      <c r="F22" s="1"/>
      <c r="G22" s="17"/>
      <c r="H22" s="1"/>
      <c r="I22" s="1"/>
      <c r="J22" s="107"/>
      <c r="K22" s="107"/>
      <c r="L22" s="107"/>
      <c r="M22" s="107"/>
      <c r="N22" s="107"/>
      <c r="O22" s="107"/>
      <c r="P22" s="18"/>
      <c r="Q22" s="89">
        <f>SUM(Q18:Q21)</f>
        <v>12</v>
      </c>
      <c r="R22" s="9">
        <f t="shared" si="0"/>
        <v>19</v>
      </c>
      <c r="S22" s="9"/>
      <c r="T22" s="9"/>
      <c r="U22" s="9"/>
      <c r="V22" s="9"/>
    </row>
    <row r="23" spans="2:22" s="11" customFormat="1" ht="15.75">
      <c r="B23" s="21"/>
      <c r="C23" s="53"/>
      <c r="D23" s="53"/>
      <c r="E23" s="53"/>
      <c r="F23" s="53"/>
      <c r="G23" s="22"/>
      <c r="H23" s="391">
        <f>IF(OR(Q22&gt;2,Q22&lt;2),"",(1/F21)*E20)</f>
      </c>
      <c r="I23" s="391"/>
      <c r="J23" s="107"/>
      <c r="K23" s="107"/>
      <c r="L23" s="107"/>
      <c r="M23" s="107"/>
      <c r="N23" s="388">
        <f>IF(OR(H23&lt;0.001),"",H23)</f>
      </c>
      <c r="O23" s="388"/>
      <c r="P23" s="23"/>
      <c r="Q23" s="12"/>
      <c r="R23" s="9">
        <f t="shared" si="0"/>
        <v>20</v>
      </c>
      <c r="S23" s="10"/>
      <c r="T23" s="10"/>
      <c r="U23" s="10"/>
      <c r="V23" s="10"/>
    </row>
    <row r="24" spans="2:22" ht="13.5" thickBot="1">
      <c r="B24" s="25"/>
      <c r="C24" s="80"/>
      <c r="D24" s="80"/>
      <c r="E24" s="80"/>
      <c r="F24" s="80"/>
      <c r="G24" s="26"/>
      <c r="H24" s="80"/>
      <c r="I24" s="80"/>
      <c r="J24" s="80"/>
      <c r="K24" s="80"/>
      <c r="L24" s="26"/>
      <c r="M24" s="80"/>
      <c r="N24" s="80"/>
      <c r="O24" s="24"/>
      <c r="P24" s="27"/>
      <c r="R24" s="9">
        <f t="shared" si="0"/>
        <v>21</v>
      </c>
      <c r="S24" s="9"/>
      <c r="T24" s="9"/>
      <c r="U24" s="9"/>
      <c r="V24" s="9"/>
    </row>
    <row r="25" spans="2:22" ht="13.5" thickTop="1">
      <c r="B25" s="60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61"/>
      <c r="Q25" s="88"/>
      <c r="R25" s="9">
        <f t="shared" si="0"/>
        <v>22</v>
      </c>
      <c r="S25" s="9"/>
      <c r="T25" s="9"/>
      <c r="U25" s="9"/>
      <c r="V25" s="9"/>
    </row>
    <row r="26" spans="2:22" ht="15.75">
      <c r="B26" s="60"/>
      <c r="C26" s="131" t="s">
        <v>323</v>
      </c>
      <c r="D26" s="112"/>
      <c r="E26" s="112"/>
      <c r="F26" s="112"/>
      <c r="G26" s="81"/>
      <c r="H26" s="386" t="s">
        <v>324</v>
      </c>
      <c r="I26" s="386"/>
      <c r="J26" s="386"/>
      <c r="K26" s="386"/>
      <c r="L26" s="386"/>
      <c r="M26" s="386"/>
      <c r="N26" s="386"/>
      <c r="O26" s="112"/>
      <c r="P26" s="61"/>
      <c r="R26" s="9">
        <f t="shared" si="0"/>
        <v>23</v>
      </c>
      <c r="S26" s="9"/>
      <c r="T26" s="9"/>
      <c r="U26" s="9"/>
      <c r="V26" s="9"/>
    </row>
    <row r="27" spans="2:18" ht="15.75">
      <c r="B27" s="60"/>
      <c r="C27" s="131"/>
      <c r="D27" s="387" t="str">
        <f>IF(OR(K29=1)," Whole"," Hours")</f>
        <v> Whole</v>
      </c>
      <c r="E27" s="387" t="str">
        <f>IF(OR(K29=1)," Degrees"," Minutes")</f>
        <v> Degrees</v>
      </c>
      <c r="F27" s="387" t="str">
        <f>IF(OR(K29=1)," Minutes"," Seconds")</f>
        <v> Minutes</v>
      </c>
      <c r="G27" s="112"/>
      <c r="H27" s="386"/>
      <c r="I27" s="386"/>
      <c r="J27" s="386"/>
      <c r="K27" s="386"/>
      <c r="L27" s="386"/>
      <c r="M27" s="386"/>
      <c r="N27" s="386"/>
      <c r="O27" s="112"/>
      <c r="P27" s="61"/>
      <c r="R27" s="9">
        <f t="shared" si="0"/>
        <v>24</v>
      </c>
    </row>
    <row r="28" spans="2:18" ht="15.75">
      <c r="B28" s="60"/>
      <c r="C28" s="131"/>
      <c r="D28" s="387"/>
      <c r="E28" s="387"/>
      <c r="F28" s="387"/>
      <c r="G28" s="112"/>
      <c r="H28" s="232"/>
      <c r="I28" s="232"/>
      <c r="J28" s="232"/>
      <c r="K28" s="232"/>
      <c r="L28" s="232"/>
      <c r="M28" s="232"/>
      <c r="N28" s="232"/>
      <c r="O28" s="112"/>
      <c r="P28" s="61"/>
      <c r="R28" s="9">
        <f t="shared" si="0"/>
        <v>25</v>
      </c>
    </row>
    <row r="29" spans="2:18" ht="15.75">
      <c r="B29" s="60"/>
      <c r="C29" s="131"/>
      <c r="D29" s="387"/>
      <c r="E29" s="387"/>
      <c r="F29" s="387"/>
      <c r="G29" s="200"/>
      <c r="H29" s="142" t="str">
        <f>IF(OR(K29=1),"Degrees as a Decimal","Time as a Decimal")</f>
        <v>Degrees as a Decimal</v>
      </c>
      <c r="I29" s="112"/>
      <c r="J29" s="272"/>
      <c r="K29" s="347">
        <f>IF(OR(N29=Q4),1,0)</f>
        <v>1</v>
      </c>
      <c r="L29" s="321"/>
      <c r="M29" s="112"/>
      <c r="N29" s="320" t="s">
        <v>228</v>
      </c>
      <c r="O29" s="112"/>
      <c r="P29" s="61"/>
      <c r="R29" s="9">
        <f t="shared" si="0"/>
        <v>26</v>
      </c>
    </row>
    <row r="30" spans="2:18" ht="12.75">
      <c r="B30" s="60"/>
      <c r="C30" s="112"/>
      <c r="D30" s="387"/>
      <c r="E30" s="387"/>
      <c r="F30" s="387"/>
      <c r="G30" s="112"/>
      <c r="H30" s="272">
        <f>IF(OR(D31+E31+F31&lt;0.001),"",D31+E31/60+F31/3600)</f>
      </c>
      <c r="I30" s="112"/>
      <c r="J30" s="112"/>
      <c r="K30" s="112"/>
      <c r="L30" s="112"/>
      <c r="M30" s="112"/>
      <c r="N30" s="112"/>
      <c r="O30" s="112"/>
      <c r="P30" s="61"/>
      <c r="R30" s="9">
        <f t="shared" si="0"/>
        <v>27</v>
      </c>
    </row>
    <row r="31" spans="2:18" ht="15.75">
      <c r="B31" s="60"/>
      <c r="C31" s="112"/>
      <c r="D31" s="317"/>
      <c r="E31" s="318"/>
      <c r="F31" s="319"/>
      <c r="G31" s="112"/>
      <c r="H31" s="281">
        <f>IF(OR(K29=1),H32,H30)</f>
      </c>
      <c r="I31" s="112"/>
      <c r="J31" s="233">
        <f>IF(OR(H31&lt;0.001),"",H31)</f>
      </c>
      <c r="K31" s="397" t="s">
        <v>242</v>
      </c>
      <c r="L31" s="397"/>
      <c r="M31" s="112"/>
      <c r="N31" s="112"/>
      <c r="O31" s="112"/>
      <c r="P31" s="61"/>
      <c r="R31" s="9">
        <f t="shared" si="0"/>
        <v>28</v>
      </c>
    </row>
    <row r="32" spans="2:18" ht="12.75">
      <c r="B32" s="60"/>
      <c r="C32" s="112"/>
      <c r="D32" s="379" t="str">
        <f>IF(OR(K29=1),"Degrees","Time")</f>
        <v>Degrees</v>
      </c>
      <c r="E32" s="379"/>
      <c r="F32" s="379"/>
      <c r="G32" s="112"/>
      <c r="H32" s="272">
        <f>IF(OR(D31+E31+F31&lt;0.001),"",D31+E31/360+F31/21600)</f>
      </c>
      <c r="I32" s="112"/>
      <c r="J32" s="112"/>
      <c r="K32" s="112"/>
      <c r="L32" s="112"/>
      <c r="M32" s="112"/>
      <c r="N32" s="112"/>
      <c r="O32" s="112"/>
      <c r="P32" s="61"/>
      <c r="R32" s="9">
        <f t="shared" si="0"/>
        <v>29</v>
      </c>
    </row>
    <row r="33" spans="2:18" ht="8.25" customHeight="1">
      <c r="B33" s="60"/>
      <c r="C33" s="112"/>
      <c r="D33" s="322"/>
      <c r="E33" s="322"/>
      <c r="F33" s="322"/>
      <c r="G33" s="112"/>
      <c r="H33" s="272"/>
      <c r="I33" s="112"/>
      <c r="J33" s="112"/>
      <c r="K33" s="112"/>
      <c r="L33" s="112"/>
      <c r="M33" s="112"/>
      <c r="N33" s="112"/>
      <c r="O33" s="112"/>
      <c r="P33" s="61"/>
      <c r="R33" s="9">
        <f>R32+1</f>
        <v>30</v>
      </c>
    </row>
    <row r="34" spans="2:18" ht="12.75">
      <c r="B34" s="60"/>
      <c r="C34" s="112"/>
      <c r="D34" s="397"/>
      <c r="E34" s="397"/>
      <c r="F34" s="397"/>
      <c r="G34" s="142"/>
      <c r="H34" s="142" t="str">
        <f>IF(OR(K29=1),"Decimal to Degrees","Decimal to Time")</f>
        <v>Decimal to Degrees</v>
      </c>
      <c r="I34" s="112"/>
      <c r="J34" s="112"/>
      <c r="K34" s="112"/>
      <c r="L34" s="112"/>
      <c r="M34" s="112"/>
      <c r="N34" s="112"/>
      <c r="O34" s="112"/>
      <c r="P34" s="61"/>
      <c r="R34" s="9">
        <f>R33+1</f>
        <v>31</v>
      </c>
    </row>
    <row r="35" spans="2:18" ht="15.75">
      <c r="B35" s="60"/>
      <c r="C35" s="112"/>
      <c r="D35" s="382">
        <f>IF(OR(K29=0),G35,"")</f>
      </c>
      <c r="E35" s="382"/>
      <c r="F35" s="382"/>
      <c r="G35" s="277">
        <f>IF(OR(H35&lt;0.001),"",H35/24)</f>
      </c>
      <c r="H35" s="316"/>
      <c r="I35" s="112"/>
      <c r="J35" s="233">
        <f>IF(OR(H35&lt;0.001),"",H35)</f>
      </c>
      <c r="K35" s="397" t="s">
        <v>242</v>
      </c>
      <c r="L35" s="397"/>
      <c r="M35" s="112"/>
      <c r="N35" s="112"/>
      <c r="O35" s="112"/>
      <c r="P35" s="61"/>
      <c r="R35" s="9">
        <f t="shared" si="0"/>
        <v>32</v>
      </c>
    </row>
    <row r="36" spans="2:18" ht="15">
      <c r="B36" s="60"/>
      <c r="C36" s="112"/>
      <c r="D36" s="275">
        <f>IF(OR(H35&gt;0.001),G38,"")</f>
      </c>
      <c r="E36" s="275">
        <f>IF(OR(H35&gt;0.001),H38,"")</f>
      </c>
      <c r="F36" s="275">
        <f>IF(OR(H35&gt;0.001),I38,"")</f>
      </c>
      <c r="G36" s="112"/>
      <c r="H36" s="279">
        <f>(H35-D38)*360</f>
        <v>0</v>
      </c>
      <c r="I36" s="112"/>
      <c r="J36" s="112"/>
      <c r="K36" s="112"/>
      <c r="L36" s="112"/>
      <c r="M36" s="112"/>
      <c r="N36" s="112"/>
      <c r="O36" s="112"/>
      <c r="P36" s="61"/>
      <c r="R36" s="9">
        <f t="shared" si="0"/>
        <v>33</v>
      </c>
    </row>
    <row r="37" spans="2:18" ht="12.75">
      <c r="B37" s="60"/>
      <c r="C37" s="140"/>
      <c r="D37" s="276" t="str">
        <f>IF(OR(K29=1)," Whole, Degrees and Minutes"," Hours, Minutes and Seconds")</f>
        <v> Whole, Degrees and Minutes</v>
      </c>
      <c r="E37" s="274"/>
      <c r="F37" s="274"/>
      <c r="G37" s="140"/>
      <c r="H37" s="273"/>
      <c r="I37" s="112"/>
      <c r="J37" s="112"/>
      <c r="K37" s="112"/>
      <c r="L37" s="112"/>
      <c r="M37" s="112"/>
      <c r="N37" s="112"/>
      <c r="O37" s="112"/>
      <c r="P37" s="61"/>
      <c r="R37" s="9">
        <f t="shared" si="0"/>
        <v>34</v>
      </c>
    </row>
    <row r="38" spans="2:18" ht="13.5" thickBot="1">
      <c r="B38" s="60"/>
      <c r="C38" s="112"/>
      <c r="D38" s="272">
        <f>ROUNDDOWN(H35,0)</f>
        <v>0</v>
      </c>
      <c r="E38" s="272">
        <f>ROUNDDOWN((H35-D38)*360,0)</f>
        <v>0</v>
      </c>
      <c r="F38" s="272">
        <f>ROUNDDOWN((H36-E38)*60,0)</f>
        <v>0</v>
      </c>
      <c r="G38" s="272">
        <f>IF(OR(K29=1),D38,"")</f>
        <v>0</v>
      </c>
      <c r="H38" s="272">
        <f>IF(OR(K29=1),E38,"")</f>
        <v>0</v>
      </c>
      <c r="I38" s="272">
        <f>IF(OR(K29=1),F38,"")</f>
        <v>0</v>
      </c>
      <c r="J38" s="112"/>
      <c r="K38" s="112"/>
      <c r="L38" s="112"/>
      <c r="M38" s="112"/>
      <c r="N38" s="112"/>
      <c r="O38" s="112"/>
      <c r="P38" s="61"/>
      <c r="R38" s="9">
        <f t="shared" si="0"/>
        <v>35</v>
      </c>
    </row>
    <row r="39" spans="2:18" ht="13.5" thickTop="1">
      <c r="B39" s="286"/>
      <c r="C39" s="287"/>
      <c r="D39" s="288"/>
      <c r="E39" s="288"/>
      <c r="F39" s="288"/>
      <c r="G39" s="288"/>
      <c r="H39" s="288"/>
      <c r="I39" s="288"/>
      <c r="J39" s="287"/>
      <c r="K39" s="287"/>
      <c r="L39" s="287"/>
      <c r="M39" s="287"/>
      <c r="N39" s="287"/>
      <c r="O39" s="287"/>
      <c r="P39" s="289"/>
      <c r="R39" s="9">
        <f t="shared" si="0"/>
        <v>36</v>
      </c>
    </row>
    <row r="40" spans="2:18" ht="15.75">
      <c r="B40" s="60"/>
      <c r="C40" s="131" t="s">
        <v>327</v>
      </c>
      <c r="D40" s="272"/>
      <c r="E40" s="272"/>
      <c r="F40" s="272"/>
      <c r="G40" s="280"/>
      <c r="H40" s="272"/>
      <c r="I40" s="272"/>
      <c r="J40" s="112"/>
      <c r="K40" s="362">
        <f>IF(OR(L40=Q11),1,0)</f>
        <v>0</v>
      </c>
      <c r="L40" s="380" t="s">
        <v>325</v>
      </c>
      <c r="M40" s="381"/>
      <c r="N40" s="112"/>
      <c r="O40" s="112"/>
      <c r="P40" s="61"/>
      <c r="R40" s="9">
        <f t="shared" si="0"/>
        <v>37</v>
      </c>
    </row>
    <row r="41" spans="2:18" ht="15.75">
      <c r="B41" s="60"/>
      <c r="C41" s="131"/>
      <c r="D41" s="272"/>
      <c r="E41" s="272"/>
      <c r="F41" s="272"/>
      <c r="G41" s="280"/>
      <c r="H41" s="272"/>
      <c r="I41" s="272"/>
      <c r="J41" s="112"/>
      <c r="K41" s="127"/>
      <c r="L41" s="142"/>
      <c r="M41" s="112"/>
      <c r="N41" s="112"/>
      <c r="O41" s="112"/>
      <c r="P41" s="61"/>
      <c r="R41" s="9">
        <f t="shared" si="0"/>
        <v>38</v>
      </c>
    </row>
    <row r="42" spans="2:18" ht="12.75">
      <c r="B42" s="60"/>
      <c r="C42" s="112"/>
      <c r="D42" s="272"/>
      <c r="E42" s="272"/>
      <c r="F42" s="397" t="s">
        <v>311</v>
      </c>
      <c r="G42" s="397"/>
      <c r="H42" s="272"/>
      <c r="I42" s="292">
        <f ca="1">NOW()</f>
        <v>45319.380675231485</v>
      </c>
      <c r="J42" s="112"/>
      <c r="K42" s="366" t="str">
        <f>IF(OR(K40=1),I44,"Second Date")</f>
        <v>Second Date</v>
      </c>
      <c r="L42" s="366"/>
      <c r="M42" s="366"/>
      <c r="N42" s="112"/>
      <c r="O42" s="112"/>
      <c r="P42" s="61"/>
      <c r="R42" s="9">
        <f t="shared" si="0"/>
        <v>39</v>
      </c>
    </row>
    <row r="43" spans="2:18" ht="12.75">
      <c r="B43" s="60"/>
      <c r="C43" s="112"/>
      <c r="D43" s="272"/>
      <c r="E43" s="272"/>
      <c r="F43" s="363"/>
      <c r="G43" s="364"/>
      <c r="H43" s="290" t="s">
        <v>304</v>
      </c>
      <c r="I43" s="127" t="s">
        <v>303</v>
      </c>
      <c r="J43" s="290" t="s">
        <v>304</v>
      </c>
      <c r="K43" s="363"/>
      <c r="L43" s="365"/>
      <c r="M43" s="364"/>
      <c r="N43" s="112"/>
      <c r="O43" s="112"/>
      <c r="P43" s="61"/>
      <c r="R43" s="9">
        <f t="shared" si="0"/>
        <v>40</v>
      </c>
    </row>
    <row r="44" spans="2:18" s="9" customFormat="1" ht="12.75">
      <c r="B44" s="295"/>
      <c r="C44" s="296"/>
      <c r="D44" s="296"/>
      <c r="E44" s="296"/>
      <c r="F44" s="298" t="str">
        <f>IF(OR(F43=""),"Please Enter Date","")</f>
        <v>Please Enter Date</v>
      </c>
      <c r="G44" s="296"/>
      <c r="H44" s="296"/>
      <c r="I44" s="272">
        <f>ROUNDDOWN(I42,0)</f>
        <v>45319</v>
      </c>
      <c r="J44" s="272"/>
      <c r="K44" s="272"/>
      <c r="L44" s="272">
        <f>ROUNDDOWN(N44/365.25,0)</f>
        <v>0</v>
      </c>
      <c r="M44" s="272"/>
      <c r="N44" s="272">
        <f>IF(OR(H46=""),0,H46)</f>
        <v>0</v>
      </c>
      <c r="O44" s="296"/>
      <c r="P44" s="297"/>
      <c r="Q44" s="89"/>
      <c r="R44" s="9">
        <f t="shared" si="0"/>
        <v>41</v>
      </c>
    </row>
    <row r="45" spans="2:18" s="9" customFormat="1" ht="12.75">
      <c r="B45" s="295"/>
      <c r="C45" s="296"/>
      <c r="D45" s="296"/>
      <c r="E45" s="296"/>
      <c r="F45" s="376">
        <f>IF(OR(N46&gt;0.1),"","Enter Second Date or 1 for Now")</f>
      </c>
      <c r="G45" s="376"/>
      <c r="H45" s="376"/>
      <c r="I45" s="292">
        <f>I44-F43</f>
        <v>45319</v>
      </c>
      <c r="J45" s="272"/>
      <c r="K45" s="272"/>
      <c r="L45" s="272">
        <f>IF(OR(I44=I45),0,L44)</f>
        <v>0</v>
      </c>
      <c r="M45" s="272"/>
      <c r="N45" s="272">
        <f>IF(OR(F44="Please Enter Date"),1,0)</f>
        <v>1</v>
      </c>
      <c r="O45" s="296"/>
      <c r="P45" s="297"/>
      <c r="Q45" s="89"/>
      <c r="R45" s="9">
        <f t="shared" si="0"/>
        <v>42</v>
      </c>
    </row>
    <row r="46" spans="2:18" s="9" customFormat="1" ht="12.75">
      <c r="B46" s="295"/>
      <c r="C46" s="296"/>
      <c r="D46" s="296"/>
      <c r="E46" s="296"/>
      <c r="F46" s="296"/>
      <c r="G46" s="296"/>
      <c r="H46" s="272">
        <f>IF(OR(I44=I45),0,I46)</f>
        <v>0</v>
      </c>
      <c r="I46" s="272">
        <f>IF(OR(K40=1),I45,J46)</f>
      </c>
      <c r="J46" s="292">
        <f>IF(OR(K43-F43&gt;0.1),K43-F43,"")</f>
      </c>
      <c r="K46" s="272"/>
      <c r="L46" s="272">
        <f>IF(OR(H46&gt;0.1),L45,0)</f>
        <v>0</v>
      </c>
      <c r="M46" s="272"/>
      <c r="N46" s="272">
        <f>SUM(N44:N45)</f>
        <v>1</v>
      </c>
      <c r="O46" s="296"/>
      <c r="P46" s="297"/>
      <c r="Q46" s="89"/>
      <c r="R46" s="9">
        <f t="shared" si="0"/>
        <v>43</v>
      </c>
    </row>
    <row r="47" spans="2:18" ht="15.75">
      <c r="B47" s="60"/>
      <c r="C47" s="112"/>
      <c r="D47" s="140"/>
      <c r="E47" s="140"/>
      <c r="F47" s="140"/>
      <c r="G47" s="272"/>
      <c r="H47" s="284">
        <f>IF(OR(H46&gt;0.001),H46,"")</f>
      </c>
      <c r="I47" s="142">
        <f>IF(OR(H47&lt;&gt;"")," Days","")</f>
      </c>
      <c r="J47" s="378">
        <f>IF(OR(L46&gt;0.1),"Over  ","")</f>
      </c>
      <c r="K47" s="378"/>
      <c r="L47" s="309">
        <f>IF(OR(L46&gt;0.1),L46,"")</f>
      </c>
      <c r="M47" s="29">
        <f>IF(OR(L46&gt;0.1)," Years","")</f>
      </c>
      <c r="N47" s="112"/>
      <c r="O47" s="112"/>
      <c r="P47" s="61"/>
      <c r="R47" s="9">
        <f t="shared" si="0"/>
        <v>44</v>
      </c>
    </row>
    <row r="48" spans="2:18" ht="15.75">
      <c r="B48" s="60"/>
      <c r="C48" s="112"/>
      <c r="D48" s="140"/>
      <c r="E48" s="140"/>
      <c r="F48" s="140"/>
      <c r="G48" s="272"/>
      <c r="H48" s="285"/>
      <c r="I48" s="142"/>
      <c r="J48" s="282"/>
      <c r="K48" s="282"/>
      <c r="L48" s="274"/>
      <c r="M48" s="29"/>
      <c r="N48" s="112"/>
      <c r="O48" s="112"/>
      <c r="P48" s="61"/>
      <c r="R48" s="9">
        <f>R47+1</f>
        <v>45</v>
      </c>
    </row>
    <row r="49" spans="2:18" ht="15.75">
      <c r="B49" s="60"/>
      <c r="C49" s="377" t="s">
        <v>312</v>
      </c>
      <c r="D49" s="377"/>
      <c r="E49" s="377"/>
      <c r="F49" s="377"/>
      <c r="G49" s="377"/>
      <c r="H49" s="272">
        <f>IF(OR(F43&gt;0.001),F43+500,"")</f>
      </c>
      <c r="I49" s="272"/>
      <c r="J49" s="293">
        <f>IF(OR(F43&gt;0.001),F43+10000,"")</f>
      </c>
      <c r="K49" s="293"/>
      <c r="L49" s="272"/>
      <c r="M49" s="272"/>
      <c r="N49" s="294">
        <f>IF(OR(F43&gt;0.001),F43+50000,"")</f>
      </c>
      <c r="O49" s="283"/>
      <c r="P49" s="61"/>
      <c r="R49" s="9">
        <f t="shared" si="0"/>
        <v>46</v>
      </c>
    </row>
    <row r="50" spans="2:18" ht="12.75">
      <c r="B50" s="60"/>
      <c r="C50" s="142" t="s">
        <v>315</v>
      </c>
      <c r="D50" s="112"/>
      <c r="E50" s="140"/>
      <c r="F50" s="375">
        <f>IF(OR(H49&gt;0.001),H49,"")</f>
      </c>
      <c r="G50" s="375"/>
      <c r="H50" s="272"/>
      <c r="I50" s="142" t="s">
        <v>305</v>
      </c>
      <c r="J50" s="375">
        <f>IF(OR(J49&gt;0.001),J49,"")</f>
      </c>
      <c r="K50" s="375"/>
      <c r="L50" s="142" t="s">
        <v>307</v>
      </c>
      <c r="M50" s="112"/>
      <c r="N50" s="375">
        <f>IF(OR(N49&gt;0.001),N49,"")</f>
      </c>
      <c r="O50" s="375"/>
      <c r="P50" s="61"/>
      <c r="R50" s="9">
        <f t="shared" si="0"/>
        <v>47</v>
      </c>
    </row>
    <row r="51" spans="2:18" ht="12.75">
      <c r="B51" s="60"/>
      <c r="C51" s="112"/>
      <c r="D51" s="140"/>
      <c r="E51" s="140"/>
      <c r="F51" s="140"/>
      <c r="G51" s="292">
        <f>IF(OR(F43&gt;0.001),F43+1000,"")</f>
      </c>
      <c r="H51" s="272"/>
      <c r="I51" s="272"/>
      <c r="J51" s="292">
        <f>IF(OR(F43&gt;0.001),F43+20000,"")</f>
      </c>
      <c r="K51" s="272"/>
      <c r="L51" s="272"/>
      <c r="M51" s="272"/>
      <c r="N51" s="293">
        <f>IF(OR(F43&gt;0.001),F43+1000000,"")</f>
      </c>
      <c r="O51" s="112"/>
      <c r="P51" s="61"/>
      <c r="R51" s="9">
        <f t="shared" si="0"/>
        <v>48</v>
      </c>
    </row>
    <row r="52" spans="2:18" ht="12.75">
      <c r="B52" s="60"/>
      <c r="C52" s="142" t="s">
        <v>313</v>
      </c>
      <c r="D52" s="142"/>
      <c r="E52" s="140"/>
      <c r="F52" s="375">
        <f>IF(OR(G51&gt;0.001),G51,"")</f>
      </c>
      <c r="G52" s="375"/>
      <c r="H52" s="272"/>
      <c r="I52" s="142" t="s">
        <v>310</v>
      </c>
      <c r="J52" s="375">
        <f>IF(OR(J51&gt;0.001),J51,"")</f>
      </c>
      <c r="K52" s="375"/>
      <c r="L52" s="142" t="s">
        <v>308</v>
      </c>
      <c r="M52" s="112"/>
      <c r="N52" s="375">
        <f>IF(OR(N51&gt;0.001),N51,"")</f>
      </c>
      <c r="O52" s="375"/>
      <c r="P52" s="61"/>
      <c r="R52" s="9">
        <f t="shared" si="0"/>
        <v>49</v>
      </c>
    </row>
    <row r="53" spans="2:18" ht="12.75">
      <c r="B53" s="60"/>
      <c r="C53" s="112"/>
      <c r="D53" s="140"/>
      <c r="E53" s="140"/>
      <c r="F53" s="140"/>
      <c r="G53" s="292">
        <f>IF(OR(F43&gt;0.001),F43+5000,"")</f>
      </c>
      <c r="H53" s="272"/>
      <c r="I53" s="272"/>
      <c r="J53" s="292">
        <f>IF(OR(F43&gt;0.001),F43+30000,"")</f>
      </c>
      <c r="K53" s="272"/>
      <c r="L53" s="272"/>
      <c r="M53" s="272"/>
      <c r="N53" s="293">
        <f>IF(OR(F43&gt;0.001),F43+500000,"")</f>
      </c>
      <c r="O53" s="112"/>
      <c r="P53" s="61"/>
      <c r="R53" s="9">
        <f t="shared" si="0"/>
        <v>50</v>
      </c>
    </row>
    <row r="54" spans="2:18" ht="12.75">
      <c r="B54" s="60"/>
      <c r="C54" s="142" t="s">
        <v>314</v>
      </c>
      <c r="D54" s="142"/>
      <c r="E54" s="140"/>
      <c r="F54" s="375">
        <f>IF(OR(G53&gt;0.001),G53,"")</f>
      </c>
      <c r="G54" s="375"/>
      <c r="H54" s="272"/>
      <c r="I54" s="142" t="s">
        <v>306</v>
      </c>
      <c r="J54" s="375">
        <f>IF(OR(J53&gt;0.001),J53,"")</f>
      </c>
      <c r="K54" s="375"/>
      <c r="L54" s="142" t="s">
        <v>309</v>
      </c>
      <c r="M54" s="112"/>
      <c r="N54" s="375">
        <f>IF(OR(N53&gt;0.001),N53,"")</f>
      </c>
      <c r="O54" s="375"/>
      <c r="P54" s="61"/>
      <c r="R54" s="9">
        <f t="shared" si="0"/>
        <v>51</v>
      </c>
    </row>
    <row r="55" spans="2:18" ht="13.5" thickBot="1">
      <c r="B55" s="64"/>
      <c r="C55" s="65"/>
      <c r="D55" s="291"/>
      <c r="E55" s="291"/>
      <c r="F55" s="291"/>
      <c r="G55" s="278"/>
      <c r="H55" s="278"/>
      <c r="I55" s="278"/>
      <c r="J55" s="65"/>
      <c r="K55" s="65"/>
      <c r="L55" s="65"/>
      <c r="M55" s="65"/>
      <c r="N55" s="65"/>
      <c r="O55" s="65"/>
      <c r="P55" s="67"/>
      <c r="R55" s="9">
        <f t="shared" si="0"/>
        <v>52</v>
      </c>
    </row>
    <row r="56" ht="12.75" hidden="1">
      <c r="R56" s="9">
        <f t="shared" si="0"/>
        <v>53</v>
      </c>
    </row>
    <row r="57" spans="10:18" ht="12.75" hidden="1">
      <c r="J57" s="244"/>
      <c r="R57" s="9">
        <f t="shared" si="0"/>
        <v>54</v>
      </c>
    </row>
    <row r="58" ht="12.75" hidden="1">
      <c r="R58" s="9">
        <f t="shared" si="0"/>
        <v>55</v>
      </c>
    </row>
    <row r="59" ht="12.75" hidden="1">
      <c r="R59" s="9">
        <f t="shared" si="0"/>
        <v>56</v>
      </c>
    </row>
    <row r="60" ht="12.75" hidden="1">
      <c r="R60" s="9">
        <f t="shared" si="0"/>
        <v>57</v>
      </c>
    </row>
    <row r="61" ht="12.75" hidden="1">
      <c r="R61" s="9">
        <f t="shared" si="0"/>
        <v>58</v>
      </c>
    </row>
    <row r="62" ht="12.75" hidden="1">
      <c r="R62" s="9">
        <f t="shared" si="0"/>
        <v>59</v>
      </c>
    </row>
    <row r="63" ht="12.75" hidden="1">
      <c r="R63" s="9">
        <f t="shared" si="0"/>
        <v>60</v>
      </c>
    </row>
    <row r="64" ht="12.75" hidden="1">
      <c r="R64" s="9">
        <f t="shared" si="0"/>
        <v>61</v>
      </c>
    </row>
    <row r="65" ht="12.75" hidden="1">
      <c r="R65" s="9">
        <f t="shared" si="0"/>
        <v>62</v>
      </c>
    </row>
    <row r="66" ht="12.75" hidden="1">
      <c r="R66" s="9">
        <f t="shared" si="0"/>
        <v>63</v>
      </c>
    </row>
    <row r="67" ht="12.75" hidden="1">
      <c r="R67" s="9">
        <f t="shared" si="0"/>
        <v>64</v>
      </c>
    </row>
    <row r="68" ht="12.75" hidden="1">
      <c r="R68" s="9">
        <f t="shared" si="0"/>
        <v>65</v>
      </c>
    </row>
    <row r="69" ht="12.75" hidden="1">
      <c r="R69" s="9">
        <f aca="true" t="shared" si="1" ref="R69:R101">R68+1</f>
        <v>66</v>
      </c>
    </row>
    <row r="70" ht="12.75" hidden="1">
      <c r="R70" s="9">
        <f t="shared" si="1"/>
        <v>67</v>
      </c>
    </row>
    <row r="71" ht="12.75" hidden="1">
      <c r="R71" s="9">
        <f t="shared" si="1"/>
        <v>68</v>
      </c>
    </row>
    <row r="72" ht="12.75" hidden="1">
      <c r="R72" s="9">
        <f t="shared" si="1"/>
        <v>69</v>
      </c>
    </row>
    <row r="73" ht="12.75" hidden="1">
      <c r="R73" s="9">
        <f t="shared" si="1"/>
        <v>70</v>
      </c>
    </row>
    <row r="74" ht="12.75" hidden="1">
      <c r="R74" s="9">
        <f t="shared" si="1"/>
        <v>71</v>
      </c>
    </row>
    <row r="75" ht="12.75" hidden="1">
      <c r="R75" s="9">
        <f t="shared" si="1"/>
        <v>72</v>
      </c>
    </row>
    <row r="76" ht="12.75" hidden="1">
      <c r="R76" s="9">
        <f t="shared" si="1"/>
        <v>73</v>
      </c>
    </row>
    <row r="77" ht="12.75" hidden="1">
      <c r="R77" s="9">
        <f t="shared" si="1"/>
        <v>74</v>
      </c>
    </row>
    <row r="78" ht="12.75" hidden="1">
      <c r="R78" s="9">
        <f t="shared" si="1"/>
        <v>75</v>
      </c>
    </row>
    <row r="79" ht="12.75" hidden="1">
      <c r="R79" s="9">
        <f t="shared" si="1"/>
        <v>76</v>
      </c>
    </row>
    <row r="80" ht="12.75" hidden="1">
      <c r="R80" s="9">
        <f t="shared" si="1"/>
        <v>77</v>
      </c>
    </row>
    <row r="81" ht="12.75" hidden="1">
      <c r="R81" s="9">
        <f t="shared" si="1"/>
        <v>78</v>
      </c>
    </row>
    <row r="82" ht="12.75" hidden="1">
      <c r="R82" s="9">
        <f t="shared" si="1"/>
        <v>79</v>
      </c>
    </row>
    <row r="83" ht="12.75" hidden="1">
      <c r="R83" s="9">
        <f t="shared" si="1"/>
        <v>80</v>
      </c>
    </row>
    <row r="84" ht="12.75" hidden="1">
      <c r="R84" s="9">
        <f t="shared" si="1"/>
        <v>81</v>
      </c>
    </row>
    <row r="85" ht="12.75" hidden="1">
      <c r="R85" s="9">
        <f t="shared" si="1"/>
        <v>82</v>
      </c>
    </row>
    <row r="86" ht="12.75" hidden="1">
      <c r="R86" s="9">
        <f t="shared" si="1"/>
        <v>83</v>
      </c>
    </row>
    <row r="87" ht="12.75" hidden="1">
      <c r="R87" s="9">
        <f t="shared" si="1"/>
        <v>84</v>
      </c>
    </row>
    <row r="88" ht="12.75" hidden="1">
      <c r="R88" s="9">
        <f t="shared" si="1"/>
        <v>85</v>
      </c>
    </row>
    <row r="89" ht="12.75" hidden="1">
      <c r="R89" s="9">
        <f t="shared" si="1"/>
        <v>86</v>
      </c>
    </row>
    <row r="90" ht="12.75" hidden="1">
      <c r="R90" s="9">
        <f t="shared" si="1"/>
        <v>87</v>
      </c>
    </row>
    <row r="91" ht="12.75" hidden="1">
      <c r="R91" s="9">
        <f t="shared" si="1"/>
        <v>88</v>
      </c>
    </row>
    <row r="92" ht="12.75" hidden="1">
      <c r="R92" s="9">
        <f t="shared" si="1"/>
        <v>89</v>
      </c>
    </row>
    <row r="93" ht="12.75" hidden="1">
      <c r="R93" s="9">
        <f t="shared" si="1"/>
        <v>90</v>
      </c>
    </row>
    <row r="94" ht="12.75" hidden="1">
      <c r="R94" s="9">
        <f t="shared" si="1"/>
        <v>91</v>
      </c>
    </row>
    <row r="95" ht="12.75" hidden="1">
      <c r="R95" s="9">
        <f t="shared" si="1"/>
        <v>92</v>
      </c>
    </row>
    <row r="96" ht="12.75" hidden="1">
      <c r="R96" s="9">
        <f t="shared" si="1"/>
        <v>93</v>
      </c>
    </row>
    <row r="97" ht="12.75" hidden="1">
      <c r="R97" s="9">
        <f t="shared" si="1"/>
        <v>94</v>
      </c>
    </row>
    <row r="98" ht="12.75" hidden="1">
      <c r="R98" s="9">
        <f t="shared" si="1"/>
        <v>95</v>
      </c>
    </row>
    <row r="99" ht="12.75" hidden="1">
      <c r="R99" s="9">
        <f t="shared" si="1"/>
        <v>96</v>
      </c>
    </row>
    <row r="100" ht="12.75" hidden="1">
      <c r="R100" s="9">
        <f t="shared" si="1"/>
        <v>97</v>
      </c>
    </row>
    <row r="101" ht="12.75" hidden="1">
      <c r="R101" s="9">
        <f t="shared" si="1"/>
        <v>98</v>
      </c>
    </row>
    <row r="102" ht="12.75" hidden="1">
      <c r="R102" s="9">
        <v>99</v>
      </c>
    </row>
    <row r="103" ht="12.75" hidden="1">
      <c r="R103" s="9"/>
    </row>
    <row r="104" ht="12.75" hidden="1">
      <c r="R104" s="9"/>
    </row>
    <row r="105" ht="12.75" hidden="1">
      <c r="R105" s="9"/>
    </row>
    <row r="106" ht="12.75" hidden="1">
      <c r="R106" s="9"/>
    </row>
    <row r="107" ht="12.75" hidden="1">
      <c r="R107" s="9"/>
    </row>
    <row r="108" ht="12.75" hidden="1">
      <c r="R108" s="9"/>
    </row>
    <row r="109" ht="12.75" hidden="1">
      <c r="R109" s="9"/>
    </row>
    <row r="110" ht="12.75" hidden="1">
      <c r="R110" s="9"/>
    </row>
    <row r="111" ht="12.75" hidden="1">
      <c r="R111" s="9"/>
    </row>
  </sheetData>
  <mergeCells count="42">
    <mergeCell ref="D32:F32"/>
    <mergeCell ref="L40:M40"/>
    <mergeCell ref="N50:O50"/>
    <mergeCell ref="N52:O52"/>
    <mergeCell ref="D34:F34"/>
    <mergeCell ref="D35:F35"/>
    <mergeCell ref="F43:G43"/>
    <mergeCell ref="K43:M43"/>
    <mergeCell ref="F42:G42"/>
    <mergeCell ref="K42:M42"/>
    <mergeCell ref="N54:O54"/>
    <mergeCell ref="F45:H45"/>
    <mergeCell ref="C49:G49"/>
    <mergeCell ref="F50:G50"/>
    <mergeCell ref="F52:G52"/>
    <mergeCell ref="F54:G54"/>
    <mergeCell ref="J50:K50"/>
    <mergeCell ref="J52:K52"/>
    <mergeCell ref="J54:K54"/>
    <mergeCell ref="J47:K47"/>
    <mergeCell ref="H23:I23"/>
    <mergeCell ref="D8:F8"/>
    <mergeCell ref="D15:F15"/>
    <mergeCell ref="D14:F14"/>
    <mergeCell ref="C9:D9"/>
    <mergeCell ref="G18:O19"/>
    <mergeCell ref="M9:N9"/>
    <mergeCell ref="L15:N15"/>
    <mergeCell ref="K31:L31"/>
    <mergeCell ref="K35:L35"/>
    <mergeCell ref="N23:O23"/>
    <mergeCell ref="B2:K3"/>
    <mergeCell ref="L2:P2"/>
    <mergeCell ref="L3:P3"/>
    <mergeCell ref="N8:O8"/>
    <mergeCell ref="D7:F7"/>
    <mergeCell ref="K7:L7"/>
    <mergeCell ref="K8:L8"/>
    <mergeCell ref="H26:N27"/>
    <mergeCell ref="D27:D30"/>
    <mergeCell ref="E27:E30"/>
    <mergeCell ref="F27:F30"/>
  </mergeCells>
  <conditionalFormatting sqref="E20 F21">
    <cfRule type="cellIs" priority="1" dxfId="1" operator="notBetween" stopIfTrue="1">
      <formula>0</formula>
      <formula>999</formula>
    </cfRule>
  </conditionalFormatting>
  <conditionalFormatting sqref="H35">
    <cfRule type="cellIs" priority="2" dxfId="2" operator="equal" stopIfTrue="1">
      <formula>0</formula>
    </cfRule>
  </conditionalFormatting>
  <conditionalFormatting sqref="L29">
    <cfRule type="cellIs" priority="3" dxfId="3" operator="equal" stopIfTrue="1">
      <formula>" Please Re-Enter"</formula>
    </cfRule>
  </conditionalFormatting>
  <conditionalFormatting sqref="K29">
    <cfRule type="cellIs" priority="4" dxfId="4" operator="greaterThan" stopIfTrue="1">
      <formula>1</formula>
    </cfRule>
  </conditionalFormatting>
  <conditionalFormatting sqref="K41">
    <cfRule type="cellIs" priority="5" dxfId="4" operator="notBetween" stopIfTrue="1">
      <formula>0</formula>
      <formula>1</formula>
    </cfRule>
  </conditionalFormatting>
  <conditionalFormatting sqref="K40">
    <cfRule type="cellIs" priority="6" dxfId="5" operator="notBetween" stopIfTrue="1">
      <formula>0</formula>
      <formula>1</formula>
    </cfRule>
  </conditionalFormatting>
  <conditionalFormatting sqref="K42:M42">
    <cfRule type="cellIs" priority="7" dxfId="6" operator="notEqual" stopIfTrue="1">
      <formula>"Second Date"</formula>
    </cfRule>
  </conditionalFormatting>
  <conditionalFormatting sqref="K43:M43">
    <cfRule type="expression" priority="8" dxfId="7" stopIfTrue="1">
      <formula>$K$40=1</formula>
    </cfRule>
  </conditionalFormatting>
  <dataValidations count="6">
    <dataValidation type="list" allowBlank="1" showInputMessage="1" showErrorMessage="1" errorTitle="Please Re-enter" error="Numbers 1 to 99 Only" sqref="F21 E20">
      <formula1>$R$3:$R$102</formula1>
    </dataValidation>
    <dataValidation type="decimal" operator="greaterThan" allowBlank="1" showInputMessage="1" showErrorMessage="1" errorTitle="Please Re-enter" error="Numbers Only" sqref="D8:J8 H11:I11 D15:I15 H35">
      <formula1>0.000001</formula1>
    </dataValidation>
    <dataValidation type="list" allowBlank="1" showInputMessage="1" showErrorMessage="1" errorTitle="Please Re-enter" error="Degrees or Time" sqref="N29">
      <formula1>$Q$4:$Q$5</formula1>
    </dataValidation>
    <dataValidation type="decimal" operator="greaterThan" allowBlank="1" showInputMessage="1" showErrorMessage="1" errorTitle="Please Re-enter" error="Numbers Only" sqref="D31:F31">
      <formula1>0.001</formula1>
    </dataValidation>
    <dataValidation type="date" operator="greaterThan" allowBlank="1" showInputMessage="1" showErrorMessage="1" errorTitle="Please Re-enter" error="Dates from 1/1/1901" sqref="F43:G43 K43:M43">
      <formula1>367</formula1>
    </dataValidation>
    <dataValidation type="list" allowBlank="1" showInputMessage="1" showErrorMessage="1" errorTitle="Please Re-enter" error="Enter Date or Now" sqref="L40:M40">
      <formula1>$Q$10:$Q$11</formula1>
    </dataValidation>
  </dataValidations>
  <hyperlinks>
    <hyperlink ref="L3" r:id="rId1" display="www.ajhw.co.uk"/>
    <hyperlink ref="L2:P2" location="Introduction!A1" display="A.J.H. Computer Services"/>
  </hyperlinks>
  <printOptions horizontalCentered="1" verticalCentered="1"/>
  <pageMargins left="0.7480314960629921" right="0.7480314960629921" top="0.7874015748031497" bottom="0.5905511811023623" header="0.5118110236220472" footer="0.31496062992125984"/>
  <pageSetup horizontalDpi="300" verticalDpi="300" orientation="landscape" paperSize="9" r:id="rId4"/>
  <headerFooter alignWithMargins="0">
    <oddHeader>&amp;LBritish Imperial units Conversions - Numbers&amp;RDownloaded from www.ajhw.co.uk</oddHeader>
    <oddFooter>&amp;LA.J.H. Computer Services&amp;R© AJH 2016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26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421875" style="5" customWidth="1"/>
    <col min="2" max="2" width="2.421875" style="5" customWidth="1"/>
    <col min="3" max="3" width="2.8515625" style="6" customWidth="1"/>
    <col min="4" max="4" width="10.00390625" style="6" customWidth="1"/>
    <col min="5" max="8" width="12.8515625" style="5" customWidth="1"/>
    <col min="9" max="9" width="10.8515625" style="5" customWidth="1"/>
    <col min="10" max="11" width="10.7109375" style="5" customWidth="1"/>
    <col min="12" max="12" width="6.140625" style="5" customWidth="1"/>
    <col min="13" max="13" width="1.421875" style="6" customWidth="1"/>
    <col min="14" max="14" width="11.28125" style="7" hidden="1" customWidth="1"/>
    <col min="15" max="16" width="0" style="9" hidden="1" customWidth="1"/>
    <col min="17" max="16384" width="9.140625" style="5" customWidth="1"/>
  </cols>
  <sheetData>
    <row r="1" ht="7.5" customHeight="1" thickBot="1"/>
    <row r="2" spans="2:14" ht="18.75" customHeight="1">
      <c r="B2" s="403" t="s">
        <v>13</v>
      </c>
      <c r="C2" s="404"/>
      <c r="D2" s="404"/>
      <c r="E2" s="404"/>
      <c r="F2" s="404"/>
      <c r="G2" s="404"/>
      <c r="H2" s="404"/>
      <c r="I2" s="404"/>
      <c r="J2" s="394" t="s">
        <v>1</v>
      </c>
      <c r="K2" s="394"/>
      <c r="L2" s="394"/>
      <c r="M2" s="395"/>
      <c r="N2" s="8"/>
    </row>
    <row r="3" spans="2:14" ht="12.75" customHeight="1" thickBot="1">
      <c r="B3" s="405"/>
      <c r="C3" s="393"/>
      <c r="D3" s="393"/>
      <c r="E3" s="393"/>
      <c r="F3" s="393"/>
      <c r="G3" s="393"/>
      <c r="H3" s="393"/>
      <c r="I3" s="393"/>
      <c r="J3" s="396" t="s">
        <v>0</v>
      </c>
      <c r="K3" s="396"/>
      <c r="L3" s="396"/>
      <c r="M3" s="383"/>
      <c r="N3" s="8"/>
    </row>
    <row r="4" spans="2:13" ht="4.5" customHeight="1" thickTop="1">
      <c r="B4" s="16"/>
      <c r="C4" s="17"/>
      <c r="D4" s="17"/>
      <c r="E4" s="17"/>
      <c r="F4" s="17"/>
      <c r="G4" s="17"/>
      <c r="H4" s="17"/>
      <c r="I4" s="17"/>
      <c r="J4" s="1"/>
      <c r="K4" s="1"/>
      <c r="L4" s="17"/>
      <c r="M4" s="18"/>
    </row>
    <row r="5" spans="2:16" ht="18">
      <c r="B5" s="16"/>
      <c r="C5" s="19" t="s">
        <v>18</v>
      </c>
      <c r="D5" s="19"/>
      <c r="E5" s="17"/>
      <c r="F5" s="17"/>
      <c r="G5" s="17"/>
      <c r="H5" s="17"/>
      <c r="I5" s="17"/>
      <c r="J5" s="1"/>
      <c r="K5" s="1"/>
      <c r="L5" s="17"/>
      <c r="M5" s="18"/>
      <c r="O5" s="9">
        <v>1</v>
      </c>
      <c r="P5" s="9" t="s">
        <v>328</v>
      </c>
    </row>
    <row r="6" spans="2:16" ht="7.5" customHeight="1">
      <c r="B6" s="16"/>
      <c r="C6" s="19"/>
      <c r="D6" s="19"/>
      <c r="E6" s="17"/>
      <c r="F6" s="17"/>
      <c r="G6" s="17"/>
      <c r="H6" s="17"/>
      <c r="I6" s="17"/>
      <c r="J6" s="1"/>
      <c r="K6" s="1"/>
      <c r="L6" s="17"/>
      <c r="M6" s="18"/>
      <c r="O6" s="9">
        <f>O5+1</f>
        <v>2</v>
      </c>
      <c r="P6" s="9" t="s">
        <v>330</v>
      </c>
    </row>
    <row r="7" spans="2:16" ht="12.75">
      <c r="B7" s="16"/>
      <c r="C7" s="425" t="s">
        <v>34</v>
      </c>
      <c r="D7" s="425"/>
      <c r="E7" s="1" t="s">
        <v>33</v>
      </c>
      <c r="F7" s="1" t="s">
        <v>32</v>
      </c>
      <c r="G7" s="1" t="s">
        <v>31</v>
      </c>
      <c r="H7" s="1" t="s">
        <v>30</v>
      </c>
      <c r="I7" s="17"/>
      <c r="J7" s="433" t="s">
        <v>19</v>
      </c>
      <c r="K7" s="433"/>
      <c r="L7" s="17"/>
      <c r="M7" s="18"/>
      <c r="O7" s="9">
        <f aca="true" t="shared" si="0" ref="O7:O70">O6+1</f>
        <v>3</v>
      </c>
      <c r="P7" s="9" t="s">
        <v>329</v>
      </c>
    </row>
    <row r="8" spans="2:16" s="11" customFormat="1" ht="15.75">
      <c r="B8" s="21"/>
      <c r="C8" s="399"/>
      <c r="D8" s="367"/>
      <c r="E8" s="325"/>
      <c r="F8" s="325"/>
      <c r="G8" s="325"/>
      <c r="H8" s="315"/>
      <c r="I8" s="22"/>
      <c r="J8" s="371">
        <f>IF(OR(N9=0),"",N9)</f>
      </c>
      <c r="K8" s="371"/>
      <c r="L8" s="22"/>
      <c r="M8" s="23"/>
      <c r="N8" s="12">
        <f>H8+(G8*12)+(F8*36)+(E8*7920)+(C8*63360)+(G14*7.92)+(H14*4)+(F14*198)+(E14*792)+(C14*190080)+(C18*72913.386)+(E18*7291.3386)+(F18*72.913386)</f>
        <v>0</v>
      </c>
      <c r="O8" s="9">
        <f t="shared" si="0"/>
        <v>4</v>
      </c>
      <c r="P8" s="10" t="s">
        <v>331</v>
      </c>
    </row>
    <row r="9" spans="2:16" ht="12.75">
      <c r="B9" s="16"/>
      <c r="C9" s="425" t="s">
        <v>26</v>
      </c>
      <c r="D9" s="425"/>
      <c r="E9" s="14" t="s">
        <v>28</v>
      </c>
      <c r="F9" s="1" t="s">
        <v>24</v>
      </c>
      <c r="G9" s="1" t="s">
        <v>23</v>
      </c>
      <c r="H9" s="1" t="s">
        <v>22</v>
      </c>
      <c r="I9" s="17"/>
      <c r="J9" s="425" t="s">
        <v>20</v>
      </c>
      <c r="K9" s="425"/>
      <c r="L9" s="17"/>
      <c r="M9" s="18"/>
      <c r="N9" s="7">
        <f>N8*0.0254</f>
        <v>0</v>
      </c>
      <c r="O9" s="9">
        <f t="shared" si="0"/>
        <v>5</v>
      </c>
      <c r="P9" s="9" t="s">
        <v>332</v>
      </c>
    </row>
    <row r="10" spans="2:16" ht="12.75">
      <c r="B10" s="16"/>
      <c r="C10" s="17"/>
      <c r="D10" s="17"/>
      <c r="E10" s="17"/>
      <c r="F10" s="17"/>
      <c r="G10" s="17"/>
      <c r="H10" s="17"/>
      <c r="I10" s="17"/>
      <c r="J10" s="433" t="s">
        <v>21</v>
      </c>
      <c r="K10" s="433"/>
      <c r="L10" s="433"/>
      <c r="M10" s="18"/>
      <c r="N10" s="15">
        <f>IF(OR(N9=0),"",N9/1000)</f>
      </c>
      <c r="O10" s="9">
        <f t="shared" si="0"/>
        <v>6</v>
      </c>
      <c r="P10" s="9" t="s">
        <v>333</v>
      </c>
    </row>
    <row r="11" spans="2:16" ht="6" customHeight="1" thickBot="1">
      <c r="B11" s="16"/>
      <c r="C11" s="17"/>
      <c r="D11" s="17"/>
      <c r="E11" s="17"/>
      <c r="F11" s="17"/>
      <c r="G11" s="17"/>
      <c r="H11" s="17"/>
      <c r="I11" s="17"/>
      <c r="J11" s="24"/>
      <c r="K11" s="24"/>
      <c r="L11" s="24"/>
      <c r="M11" s="18"/>
      <c r="O11" s="9">
        <f t="shared" si="0"/>
        <v>7</v>
      </c>
      <c r="P11" s="9" t="s">
        <v>334</v>
      </c>
    </row>
    <row r="12" spans="2:16" ht="6" customHeight="1" thickTop="1">
      <c r="B12" s="16"/>
      <c r="C12" s="17"/>
      <c r="D12" s="17"/>
      <c r="E12" s="17"/>
      <c r="F12" s="17"/>
      <c r="G12" s="17"/>
      <c r="H12" s="17"/>
      <c r="I12" s="17"/>
      <c r="J12" s="20"/>
      <c r="K12" s="20"/>
      <c r="L12" s="20"/>
      <c r="M12" s="18"/>
      <c r="O12" s="9">
        <f t="shared" si="0"/>
        <v>8</v>
      </c>
      <c r="P12" s="9" t="s">
        <v>335</v>
      </c>
    </row>
    <row r="13" spans="2:16" ht="12.75">
      <c r="B13" s="16"/>
      <c r="C13" s="425" t="s">
        <v>35</v>
      </c>
      <c r="D13" s="425"/>
      <c r="E13" s="1" t="s">
        <v>39</v>
      </c>
      <c r="F13" s="1" t="s">
        <v>73</v>
      </c>
      <c r="G13" s="1" t="s">
        <v>40</v>
      </c>
      <c r="H13" s="1" t="s">
        <v>42</v>
      </c>
      <c r="I13" s="17"/>
      <c r="J13" s="433" t="s">
        <v>48</v>
      </c>
      <c r="K13" s="433"/>
      <c r="L13" s="17"/>
      <c r="M13" s="18"/>
      <c r="N13" s="7">
        <f>INT(ABS(N8)/63360)</f>
        <v>0</v>
      </c>
      <c r="O13" s="9">
        <f t="shared" si="0"/>
        <v>9</v>
      </c>
      <c r="P13" s="9" t="s">
        <v>246</v>
      </c>
    </row>
    <row r="14" spans="2:16" s="11" customFormat="1" ht="15.75">
      <c r="B14" s="21"/>
      <c r="C14" s="427"/>
      <c r="D14" s="369"/>
      <c r="E14" s="327"/>
      <c r="F14" s="327"/>
      <c r="G14" s="327"/>
      <c r="H14" s="328"/>
      <c r="I14" s="22"/>
      <c r="J14" s="371">
        <f>IF(OR(N10&lt;0.001),"",N10)</f>
      </c>
      <c r="K14" s="371"/>
      <c r="L14" s="22"/>
      <c r="M14" s="23"/>
      <c r="N14" s="12">
        <f>INT((ABS(N8)-(N13*63360))/36)</f>
        <v>0</v>
      </c>
      <c r="O14" s="9">
        <f t="shared" si="0"/>
        <v>10</v>
      </c>
      <c r="P14" s="10" t="s">
        <v>336</v>
      </c>
    </row>
    <row r="15" spans="2:16" ht="12.75">
      <c r="B15" s="16"/>
      <c r="C15" s="425" t="s">
        <v>27</v>
      </c>
      <c r="D15" s="425"/>
      <c r="E15" s="1" t="s">
        <v>29</v>
      </c>
      <c r="F15" s="1" t="s">
        <v>78</v>
      </c>
      <c r="G15" s="1" t="s">
        <v>41</v>
      </c>
      <c r="H15" s="1" t="s">
        <v>43</v>
      </c>
      <c r="I15" s="17"/>
      <c r="J15" s="425" t="s">
        <v>38</v>
      </c>
      <c r="K15" s="425"/>
      <c r="L15" s="20"/>
      <c r="M15" s="18"/>
      <c r="N15" s="7">
        <f>INT((ABS(N8)-(N13*63360)-(N14*36))/12)</f>
        <v>0</v>
      </c>
      <c r="O15" s="9">
        <f t="shared" si="0"/>
        <v>11</v>
      </c>
      <c r="P15" s="9" t="s">
        <v>58</v>
      </c>
    </row>
    <row r="16" spans="2:16" ht="12.75">
      <c r="B16" s="16"/>
      <c r="C16" s="1"/>
      <c r="D16" s="1"/>
      <c r="E16" s="1"/>
      <c r="F16" s="1"/>
      <c r="G16" s="1"/>
      <c r="H16" s="1"/>
      <c r="I16" s="17"/>
      <c r="J16" s="433" t="s">
        <v>37</v>
      </c>
      <c r="K16" s="433"/>
      <c r="L16" s="433"/>
      <c r="M16" s="18"/>
      <c r="N16" s="7">
        <f>ABS(N8)-N13*63360-N14*36-N15*12</f>
        <v>0</v>
      </c>
      <c r="O16" s="9">
        <f t="shared" si="0"/>
        <v>12</v>
      </c>
      <c r="P16" s="9" t="s">
        <v>82</v>
      </c>
    </row>
    <row r="17" spans="2:16" ht="12.75">
      <c r="B17" s="368" t="s">
        <v>75</v>
      </c>
      <c r="C17" s="425"/>
      <c r="D17" s="425"/>
      <c r="E17" s="1" t="s">
        <v>74</v>
      </c>
      <c r="F17" s="1" t="s">
        <v>36</v>
      </c>
      <c r="G17" s="1"/>
      <c r="H17" s="20" t="s">
        <v>79</v>
      </c>
      <c r="I17" s="17"/>
      <c r="J17" s="1"/>
      <c r="K17" s="1"/>
      <c r="L17" s="20"/>
      <c r="M17" s="18"/>
      <c r="O17" s="9">
        <f t="shared" si="0"/>
        <v>13</v>
      </c>
      <c r="P17" s="9" t="s">
        <v>337</v>
      </c>
    </row>
    <row r="18" spans="2:16" s="11" customFormat="1" ht="15.75">
      <c r="B18" s="323"/>
      <c r="C18" s="427"/>
      <c r="D18" s="369"/>
      <c r="E18" s="327"/>
      <c r="F18" s="328"/>
      <c r="G18" s="22"/>
      <c r="H18" s="83">
        <f>IF(OR(N13&lt;0.001),"",N13)</f>
      </c>
      <c r="I18" s="57">
        <f>IF(OR(N14&lt;0.001),"",N14)</f>
      </c>
      <c r="J18" s="57">
        <f>IF(OR(N15&lt;0.001),"",N15)</f>
      </c>
      <c r="K18" s="58">
        <f>IF(OR(N16&lt;0.001),"",N16)</f>
      </c>
      <c r="L18" s="48"/>
      <c r="M18" s="23"/>
      <c r="N18" s="12"/>
      <c r="O18" s="9">
        <f t="shared" si="0"/>
        <v>14</v>
      </c>
      <c r="P18" s="10" t="s">
        <v>338</v>
      </c>
    </row>
    <row r="19" spans="2:16" ht="12.75">
      <c r="B19" s="50"/>
      <c r="C19" s="425" t="s">
        <v>76</v>
      </c>
      <c r="D19" s="425"/>
      <c r="E19" s="1" t="s">
        <v>77</v>
      </c>
      <c r="F19" s="1" t="s">
        <v>25</v>
      </c>
      <c r="G19" s="1"/>
      <c r="H19" s="1" t="s">
        <v>34</v>
      </c>
      <c r="I19" s="1" t="s">
        <v>32</v>
      </c>
      <c r="J19" s="1" t="s">
        <v>31</v>
      </c>
      <c r="K19" s="1" t="s">
        <v>30</v>
      </c>
      <c r="L19" s="20"/>
      <c r="M19" s="18"/>
      <c r="O19" s="9">
        <f t="shared" si="0"/>
        <v>15</v>
      </c>
      <c r="P19" s="9" t="s">
        <v>339</v>
      </c>
    </row>
    <row r="20" spans="2:16" ht="4.5" customHeight="1" thickBot="1">
      <c r="B20" s="25"/>
      <c r="C20" s="26"/>
      <c r="D20" s="26"/>
      <c r="E20" s="26"/>
      <c r="F20" s="26"/>
      <c r="G20" s="26"/>
      <c r="H20" s="26"/>
      <c r="I20" s="26"/>
      <c r="J20" s="24"/>
      <c r="K20" s="24"/>
      <c r="L20" s="24"/>
      <c r="M20" s="27"/>
      <c r="O20" s="9">
        <f t="shared" si="0"/>
        <v>16</v>
      </c>
      <c r="P20" s="9" t="s">
        <v>340</v>
      </c>
    </row>
    <row r="21" spans="2:16" ht="6" customHeight="1" thickTop="1">
      <c r="B21" s="16"/>
      <c r="C21" s="17"/>
      <c r="D21" s="17"/>
      <c r="E21" s="17"/>
      <c r="F21" s="17"/>
      <c r="G21" s="17"/>
      <c r="H21" s="17"/>
      <c r="I21" s="17"/>
      <c r="J21" s="20"/>
      <c r="K21" s="20"/>
      <c r="L21" s="20"/>
      <c r="M21" s="18"/>
      <c r="O21" s="9">
        <f t="shared" si="0"/>
        <v>17</v>
      </c>
      <c r="P21" s="9" t="s">
        <v>341</v>
      </c>
    </row>
    <row r="22" spans="2:16" ht="18">
      <c r="B22" s="16"/>
      <c r="C22" s="19" t="s">
        <v>140</v>
      </c>
      <c r="D22" s="19"/>
      <c r="E22" s="17"/>
      <c r="F22" s="17"/>
      <c r="G22" s="17"/>
      <c r="H22" s="17"/>
      <c r="I22" s="17"/>
      <c r="J22" s="20"/>
      <c r="K22" s="20"/>
      <c r="L22" s="20"/>
      <c r="M22" s="18"/>
      <c r="O22" s="9">
        <f t="shared" si="0"/>
        <v>18</v>
      </c>
      <c r="P22" s="9" t="s">
        <v>342</v>
      </c>
    </row>
    <row r="23" spans="2:16" ht="7.5" customHeight="1">
      <c r="B23" s="16"/>
      <c r="C23" s="19"/>
      <c r="D23" s="19"/>
      <c r="E23" s="17"/>
      <c r="F23" s="17"/>
      <c r="G23" s="17"/>
      <c r="H23" s="17"/>
      <c r="I23" s="17"/>
      <c r="J23" s="20"/>
      <c r="K23" s="20"/>
      <c r="L23" s="20"/>
      <c r="M23" s="18"/>
      <c r="O23" s="9">
        <f t="shared" si="0"/>
        <v>19</v>
      </c>
      <c r="P23" s="9" t="s">
        <v>343</v>
      </c>
    </row>
    <row r="24" spans="2:16" ht="12.75">
      <c r="B24" s="16"/>
      <c r="C24" s="17"/>
      <c r="D24" s="17"/>
      <c r="E24" s="17"/>
      <c r="F24" s="1" t="s">
        <v>46</v>
      </c>
      <c r="G24" s="17"/>
      <c r="H24" s="17"/>
      <c r="I24" s="17"/>
      <c r="J24" s="20"/>
      <c r="K24" s="20"/>
      <c r="L24" s="20"/>
      <c r="M24" s="18"/>
      <c r="O24" s="9">
        <f t="shared" si="0"/>
        <v>20</v>
      </c>
      <c r="P24" s="9" t="s">
        <v>344</v>
      </c>
    </row>
    <row r="25" spans="2:16" ht="15.75">
      <c r="B25" s="16"/>
      <c r="C25" s="399"/>
      <c r="D25" s="400"/>
      <c r="E25" s="20" t="str">
        <f>IF(OR(C25&gt;999,C25&lt;0),"  Re-enter","   thou")</f>
        <v>   thou</v>
      </c>
      <c r="F25" s="28">
        <f>IF(OR(C25&gt;999,C25&lt;1),"",C25/1000)</f>
      </c>
      <c r="G25" s="17"/>
      <c r="H25" s="17"/>
      <c r="I25" s="17"/>
      <c r="J25" s="433" t="s">
        <v>49</v>
      </c>
      <c r="K25" s="433"/>
      <c r="L25" s="20"/>
      <c r="M25" s="18"/>
      <c r="O25" s="9">
        <f t="shared" si="0"/>
        <v>21</v>
      </c>
      <c r="P25" s="9" t="s">
        <v>345</v>
      </c>
    </row>
    <row r="26" spans="2:16" ht="15.75">
      <c r="B26" s="16"/>
      <c r="C26" s="370" t="s">
        <v>45</v>
      </c>
      <c r="D26" s="370"/>
      <c r="E26" s="17"/>
      <c r="F26" s="17"/>
      <c r="G26" s="17"/>
      <c r="H26" s="17"/>
      <c r="I26" s="17"/>
      <c r="J26" s="371">
        <f>IF(OR(F44&lt;0.001),"",F44*25.4)</f>
      </c>
      <c r="K26" s="371"/>
      <c r="L26" s="20"/>
      <c r="M26" s="18"/>
      <c r="O26" s="9">
        <f t="shared" si="0"/>
        <v>22</v>
      </c>
      <c r="P26" s="9" t="s">
        <v>346</v>
      </c>
    </row>
    <row r="27" spans="2:16" ht="15" customHeight="1">
      <c r="B27" s="16"/>
      <c r="C27" s="343"/>
      <c r="D27" s="29" t="str">
        <f>IF(OR(C27&gt;63,C27&lt;0),"  Please Re-enter"," /64 of an inch")</f>
        <v> /64 of an inch</v>
      </c>
      <c r="E27" s="17"/>
      <c r="F27" s="86">
        <f>IF(OR(C27&gt;63,C27&lt;1),"",C27*0.015625)</f>
      </c>
      <c r="G27" s="438" t="s">
        <v>243</v>
      </c>
      <c r="H27" s="438"/>
      <c r="I27" s="438"/>
      <c r="J27" s="435" t="s">
        <v>44</v>
      </c>
      <c r="K27" s="435"/>
      <c r="L27" s="20"/>
      <c r="M27" s="18"/>
      <c r="O27" s="9">
        <f t="shared" si="0"/>
        <v>23</v>
      </c>
      <c r="P27" s="9" t="s">
        <v>347</v>
      </c>
    </row>
    <row r="28" spans="2:16" ht="4.5" customHeight="1">
      <c r="B28" s="16"/>
      <c r="C28" s="17"/>
      <c r="D28" s="29"/>
      <c r="E28" s="17"/>
      <c r="F28" s="87"/>
      <c r="G28" s="438"/>
      <c r="H28" s="438"/>
      <c r="I28" s="438"/>
      <c r="J28" s="20"/>
      <c r="K28" s="20"/>
      <c r="L28" s="20"/>
      <c r="M28" s="18"/>
      <c r="O28" s="9">
        <f t="shared" si="0"/>
        <v>24</v>
      </c>
      <c r="P28" s="9" t="s">
        <v>348</v>
      </c>
    </row>
    <row r="29" spans="2:16" ht="15" customHeight="1">
      <c r="B29" s="16"/>
      <c r="C29" s="343"/>
      <c r="D29" s="29" t="str">
        <f>IF(OR(C29&gt;31,C29&lt;0),"  Please Re-enter"," /32 of an inch")</f>
        <v> /32 of an inch</v>
      </c>
      <c r="E29" s="17"/>
      <c r="F29" s="86">
        <f>IF(OR(C29&gt;31,C29&lt;1),"",C29*0.03125)</f>
      </c>
      <c r="G29" s="14"/>
      <c r="H29" s="190">
        <f>IF(OR(F44&lt;0.001),"",F44*1000)</f>
      </c>
      <c r="I29" s="14"/>
      <c r="J29" s="20"/>
      <c r="K29" s="20"/>
      <c r="L29" s="20"/>
      <c r="M29" s="18"/>
      <c r="O29" s="9">
        <f t="shared" si="0"/>
        <v>25</v>
      </c>
      <c r="P29" s="9" t="s">
        <v>349</v>
      </c>
    </row>
    <row r="30" spans="2:16" ht="4.5" customHeight="1">
      <c r="B30" s="16"/>
      <c r="C30" s="17"/>
      <c r="D30" s="29"/>
      <c r="E30" s="17"/>
      <c r="F30" s="87"/>
      <c r="G30" s="14"/>
      <c r="H30" s="14"/>
      <c r="I30" s="14"/>
      <c r="J30" s="20"/>
      <c r="K30" s="20"/>
      <c r="L30" s="20"/>
      <c r="M30" s="18"/>
      <c r="O30" s="9">
        <f t="shared" si="0"/>
        <v>26</v>
      </c>
      <c r="P30" s="9" t="s">
        <v>350</v>
      </c>
    </row>
    <row r="31" spans="2:15" ht="15" customHeight="1">
      <c r="B31" s="16"/>
      <c r="C31" s="343"/>
      <c r="D31" s="29" t="str">
        <f>IF(OR(C31&gt;15,C31&lt;0),"  Please Re-enter"," /16 of an inch")</f>
        <v> /16 of an inch</v>
      </c>
      <c r="E31" s="17"/>
      <c r="F31" s="86">
        <f>IF(OR(C31&gt;15,C31&lt;1),"",C31*0.0625)</f>
      </c>
      <c r="G31" s="397" t="s">
        <v>242</v>
      </c>
      <c r="H31" s="397"/>
      <c r="I31" s="397"/>
      <c r="J31" s="425"/>
      <c r="K31" s="425"/>
      <c r="L31" s="425"/>
      <c r="M31" s="18"/>
      <c r="O31" s="9">
        <f t="shared" si="0"/>
        <v>27</v>
      </c>
    </row>
    <row r="32" spans="2:15" ht="4.5" customHeight="1">
      <c r="B32" s="16"/>
      <c r="C32" s="17"/>
      <c r="D32" s="29"/>
      <c r="E32" s="17"/>
      <c r="F32" s="87"/>
      <c r="G32" s="397"/>
      <c r="H32" s="397"/>
      <c r="I32" s="397"/>
      <c r="J32" s="51"/>
      <c r="K32" s="439"/>
      <c r="L32" s="439"/>
      <c r="M32" s="18"/>
      <c r="O32" s="9">
        <f t="shared" si="0"/>
        <v>28</v>
      </c>
    </row>
    <row r="33" spans="2:15" ht="15" customHeight="1">
      <c r="B33" s="16"/>
      <c r="C33" s="343"/>
      <c r="D33" s="29" t="str">
        <f>IF(OR(C33&gt;7,C33&lt;0),"  Please Re-enter"," /8 of an inch")</f>
        <v> /8 of an inch</v>
      </c>
      <c r="E33" s="17"/>
      <c r="F33" s="86">
        <f>IF(OR(C33&gt;7,C33&lt;1),"",C33*0.125)</f>
      </c>
      <c r="G33" s="17"/>
      <c r="H33" s="188">
        <f>IF(OR(F44&lt;0.002),"",K45)</f>
      </c>
      <c r="I33" s="299" t="s">
        <v>317</v>
      </c>
      <c r="J33" s="2"/>
      <c r="K33" s="1"/>
      <c r="L33" s="1"/>
      <c r="M33" s="18"/>
      <c r="O33" s="9">
        <f t="shared" si="0"/>
        <v>29</v>
      </c>
    </row>
    <row r="34" spans="2:15" ht="4.5" customHeight="1">
      <c r="B34" s="16"/>
      <c r="C34" s="17"/>
      <c r="D34" s="29"/>
      <c r="E34" s="17"/>
      <c r="F34" s="87"/>
      <c r="G34" s="17"/>
      <c r="H34" s="17"/>
      <c r="I34" s="17"/>
      <c r="J34" s="20"/>
      <c r="K34" s="20"/>
      <c r="L34" s="20"/>
      <c r="M34" s="18"/>
      <c r="O34" s="9">
        <f t="shared" si="0"/>
        <v>30</v>
      </c>
    </row>
    <row r="35" spans="2:15" ht="15" customHeight="1">
      <c r="B35" s="16"/>
      <c r="C35" s="343"/>
      <c r="D35" s="29" t="str">
        <f>IF(OR(C35&gt;3,C35&lt;0),"   Please Re-enter"," /4 of an inch")</f>
        <v> /4 of an inch</v>
      </c>
      <c r="E35" s="17"/>
      <c r="F35" s="86">
        <f>IF(OR(C35&gt;3,C35&lt;1),"",C35*0.25)</f>
      </c>
      <c r="G35" s="397" t="s">
        <v>244</v>
      </c>
      <c r="H35" s="397"/>
      <c r="I35" s="397"/>
      <c r="J35" s="20"/>
      <c r="K35" s="20"/>
      <c r="L35" s="20"/>
      <c r="M35" s="18"/>
      <c r="O35" s="9">
        <f t="shared" si="0"/>
        <v>31</v>
      </c>
    </row>
    <row r="36" spans="2:15" ht="4.5" customHeight="1">
      <c r="B36" s="16"/>
      <c r="C36" s="17"/>
      <c r="D36" s="29"/>
      <c r="E36" s="17"/>
      <c r="F36" s="87"/>
      <c r="G36" s="397"/>
      <c r="H36" s="397"/>
      <c r="I36" s="397"/>
      <c r="J36" s="20"/>
      <c r="K36" s="20"/>
      <c r="L36" s="20"/>
      <c r="M36" s="18"/>
      <c r="O36" s="9">
        <f t="shared" si="0"/>
        <v>32</v>
      </c>
    </row>
    <row r="37" spans="2:15" ht="15" customHeight="1">
      <c r="B37" s="16"/>
      <c r="C37" s="343"/>
      <c r="D37" s="30" t="str">
        <f>IF(OR(C37&gt;1,C37&lt;0),"  Please Re-enter"," /2 of an inch")</f>
        <v> /2 of an inch</v>
      </c>
      <c r="E37" s="17"/>
      <c r="F37" s="86">
        <f>IF(OR(C37&gt;1,C37&lt;1),"",C37*0.5)</f>
      </c>
      <c r="G37" s="17"/>
      <c r="H37" s="189">
        <f>IF(OR(F44&lt;0.001),"",F44)</f>
      </c>
      <c r="I37" s="17"/>
      <c r="J37" s="20"/>
      <c r="K37" s="20"/>
      <c r="L37" s="20"/>
      <c r="M37" s="18"/>
      <c r="O37" s="9">
        <f t="shared" si="0"/>
        <v>33</v>
      </c>
    </row>
    <row r="38" spans="2:15" ht="12.75">
      <c r="B38" s="16"/>
      <c r="C38" s="17"/>
      <c r="D38" s="30"/>
      <c r="E38" s="17"/>
      <c r="F38" s="87"/>
      <c r="G38" s="17"/>
      <c r="H38" s="17"/>
      <c r="I38" s="17"/>
      <c r="J38" s="20"/>
      <c r="K38" s="20"/>
      <c r="L38" s="20"/>
      <c r="M38" s="18"/>
      <c r="O38" s="9">
        <f t="shared" si="0"/>
        <v>34</v>
      </c>
    </row>
    <row r="39" spans="2:15" ht="15" customHeight="1">
      <c r="B39" s="16"/>
      <c r="C39" s="358"/>
      <c r="D39" s="30" t="str">
        <f>IF(OR(C39&gt;50,C39&lt;0),"  Please Re-enter"," Standard Wire Gauge")</f>
        <v> Standard Wire Gauge</v>
      </c>
      <c r="E39" s="17"/>
      <c r="F39" s="86">
        <f>IF(OR(E96&lt;0.001),"",E96)</f>
      </c>
      <c r="G39" s="82">
        <f>IF(OR(C39&gt;50,C39&lt;1),"",C39)</f>
      </c>
      <c r="H39" s="20">
        <f>IF(OR(C39&gt;50,C39&lt;1),"","swg")</f>
      </c>
      <c r="I39" s="81"/>
      <c r="J39" s="20"/>
      <c r="K39" s="20"/>
      <c r="L39" s="20"/>
      <c r="M39" s="18"/>
      <c r="O39" s="9">
        <f t="shared" si="0"/>
        <v>35</v>
      </c>
    </row>
    <row r="40" spans="2:15" ht="12.75">
      <c r="B40" s="16"/>
      <c r="C40" s="17"/>
      <c r="D40" s="30"/>
      <c r="E40" s="17"/>
      <c r="F40" s="87"/>
      <c r="G40" s="82"/>
      <c r="H40" s="20"/>
      <c r="I40" s="81"/>
      <c r="J40" s="20"/>
      <c r="K40" s="20"/>
      <c r="L40" s="20"/>
      <c r="M40" s="18"/>
      <c r="O40" s="9">
        <f t="shared" si="0"/>
        <v>36</v>
      </c>
    </row>
    <row r="41" spans="2:15" ht="15" customHeight="1">
      <c r="B41" s="16"/>
      <c r="C41" s="359"/>
      <c r="D41" s="30" t="str">
        <f>IF(OR(C41&gt;80,C41&lt;0),"  Please Re-enter"," Number Drills")</f>
        <v> Number Drills</v>
      </c>
      <c r="E41" s="17"/>
      <c r="F41" s="86">
        <f>IF(OR(G126&lt;0.001),"",G126)</f>
      </c>
      <c r="G41" s="82">
        <f>IF(OR(C41&gt;80,C41&lt;1),"",C41)</f>
      </c>
      <c r="H41" s="20">
        <f>IF(OR(C41&gt;80,C41&lt;1),""," Number Drills")</f>
      </c>
      <c r="I41" s="81"/>
      <c r="J41" s="20"/>
      <c r="K41" s="20"/>
      <c r="L41" s="20"/>
      <c r="M41" s="18"/>
      <c r="O41" s="9">
        <f t="shared" si="0"/>
        <v>37</v>
      </c>
    </row>
    <row r="42" spans="2:15" ht="4.5" customHeight="1">
      <c r="B42" s="16"/>
      <c r="C42" s="17"/>
      <c r="D42" s="30"/>
      <c r="E42" s="17"/>
      <c r="F42" s="87"/>
      <c r="G42" s="82"/>
      <c r="H42" s="20"/>
      <c r="I42" s="81"/>
      <c r="J42" s="20"/>
      <c r="K42" s="20"/>
      <c r="L42" s="20"/>
      <c r="M42" s="18"/>
      <c r="O42" s="9">
        <f t="shared" si="0"/>
        <v>38</v>
      </c>
    </row>
    <row r="43" spans="2:15" ht="15" customHeight="1">
      <c r="B43" s="16"/>
      <c r="C43" s="359"/>
      <c r="D43" s="30" t="str">
        <f>IF(OR(J72&gt;1,J72&lt;0),"  Please Re-enter"," Letter Drills")</f>
        <v> Letter Drills</v>
      </c>
      <c r="E43" s="17"/>
      <c r="F43" s="86">
        <f>IF(OR(I72&lt;0.001),"",I72)</f>
      </c>
      <c r="G43" s="82">
        <f>IF(OR(J72=1),K46,"")</f>
      </c>
      <c r="H43" s="20">
        <f>IF(OR(J72=1),"Letter Drills","")</f>
      </c>
      <c r="I43" s="81"/>
      <c r="J43" s="20"/>
      <c r="K43" s="20"/>
      <c r="L43" s="20"/>
      <c r="M43" s="18"/>
      <c r="O43" s="9">
        <f t="shared" si="0"/>
        <v>39</v>
      </c>
    </row>
    <row r="44" spans="2:15" ht="12.75" customHeight="1" thickBot="1">
      <c r="B44" s="31"/>
      <c r="C44" s="32"/>
      <c r="D44" s="33"/>
      <c r="E44" s="32"/>
      <c r="F44" s="36">
        <f>SUM(F25:F43)</f>
        <v>0</v>
      </c>
      <c r="G44" s="32"/>
      <c r="H44" s="32"/>
      <c r="I44" s="32"/>
      <c r="J44" s="34"/>
      <c r="K44" s="34"/>
      <c r="L44" s="34"/>
      <c r="M44" s="35"/>
      <c r="O44" s="9">
        <f t="shared" si="0"/>
        <v>40</v>
      </c>
    </row>
    <row r="45" spans="10:16" s="300" customFormat="1" ht="12.75" hidden="1">
      <c r="J45" s="301">
        <f>C43</f>
        <v>0</v>
      </c>
      <c r="K45" s="302">
        <f>ROUND(F44*64,0)/64</f>
        <v>0</v>
      </c>
      <c r="N45" s="88"/>
      <c r="O45" s="9">
        <f t="shared" si="0"/>
        <v>41</v>
      </c>
      <c r="P45" s="88"/>
    </row>
    <row r="46" spans="3:16" s="330" customFormat="1" ht="12.75" hidden="1">
      <c r="C46" s="331"/>
      <c r="D46" s="360">
        <v>0.3</v>
      </c>
      <c r="E46" s="332">
        <f>IF(OR(C39=1),D46,0)</f>
        <v>0</v>
      </c>
      <c r="F46" s="330">
        <v>0.228</v>
      </c>
      <c r="G46" s="333">
        <f>IF(OR(C41=1),F46,0)</f>
        <v>0</v>
      </c>
      <c r="H46" s="330">
        <v>0.234</v>
      </c>
      <c r="I46" s="333">
        <f>IF(OR(C43="A"),H46,0)</f>
        <v>0</v>
      </c>
      <c r="J46" s="333">
        <f>IF(OR(C43="A"),1,0)</f>
        <v>0</v>
      </c>
      <c r="K46" s="334" t="str">
        <f>UPPER(J45)</f>
        <v>0</v>
      </c>
      <c r="N46" s="88"/>
      <c r="O46" s="9">
        <f t="shared" si="0"/>
        <v>42</v>
      </c>
      <c r="P46" s="88"/>
    </row>
    <row r="47" spans="3:16" s="330" customFormat="1" ht="12.75" hidden="1">
      <c r="C47" s="331"/>
      <c r="D47" s="360">
        <v>0.276</v>
      </c>
      <c r="E47" s="332">
        <f>IF(OR(C39=2),D47,0)</f>
        <v>0</v>
      </c>
      <c r="F47" s="330">
        <v>0.221</v>
      </c>
      <c r="G47" s="333">
        <f>IF(OR(C41=2),F47,0)</f>
        <v>0</v>
      </c>
      <c r="H47" s="330">
        <v>0.238</v>
      </c>
      <c r="I47" s="333">
        <f>IF(OR(C43="B"),H47,0)</f>
        <v>0</v>
      </c>
      <c r="J47" s="333">
        <f>IF(OR(C43="B"),1,0)</f>
        <v>0</v>
      </c>
      <c r="N47" s="88"/>
      <c r="O47" s="9">
        <f t="shared" si="0"/>
        <v>43</v>
      </c>
      <c r="P47" s="88"/>
    </row>
    <row r="48" spans="3:16" s="330" customFormat="1" ht="12.75" hidden="1">
      <c r="C48" s="331"/>
      <c r="D48" s="360">
        <v>0.252</v>
      </c>
      <c r="E48" s="332">
        <f>IF(OR(C39=3),D48,0)</f>
        <v>0</v>
      </c>
      <c r="F48" s="330">
        <v>0.213</v>
      </c>
      <c r="G48" s="333">
        <f>IF(OR(C41=3),F48,0)</f>
        <v>0</v>
      </c>
      <c r="H48" s="330">
        <v>0.242</v>
      </c>
      <c r="I48" s="333">
        <f>IF(OR(C43="C"),H48,0)</f>
        <v>0</v>
      </c>
      <c r="J48" s="333">
        <f>IF(OR(C43="C"),1,0)</f>
        <v>0</v>
      </c>
      <c r="N48" s="88"/>
      <c r="O48" s="9">
        <f t="shared" si="0"/>
        <v>44</v>
      </c>
      <c r="P48" s="88"/>
    </row>
    <row r="49" spans="3:16" s="330" customFormat="1" ht="12.75" hidden="1">
      <c r="C49" s="331"/>
      <c r="D49" s="360">
        <v>0.232</v>
      </c>
      <c r="E49" s="332">
        <f>IF(OR(C39=4),D49,0)</f>
        <v>0</v>
      </c>
      <c r="F49" s="330">
        <v>0.209</v>
      </c>
      <c r="G49" s="333">
        <f>IF(OR(C41=4),F49,0)</f>
        <v>0</v>
      </c>
      <c r="H49" s="330">
        <v>0.246</v>
      </c>
      <c r="I49" s="333">
        <f>IF(OR(C43="D"),H49,0)</f>
        <v>0</v>
      </c>
      <c r="J49" s="333">
        <f>IF(OR(C43="D"),1,0)</f>
        <v>0</v>
      </c>
      <c r="N49" s="88"/>
      <c r="O49" s="9">
        <f t="shared" si="0"/>
        <v>45</v>
      </c>
      <c r="P49" s="88"/>
    </row>
    <row r="50" spans="3:16" s="330" customFormat="1" ht="12.75" hidden="1">
      <c r="C50" s="331"/>
      <c r="D50" s="360">
        <v>0.212</v>
      </c>
      <c r="E50" s="332">
        <f>IF(OR(C39=5),D50,0)</f>
        <v>0</v>
      </c>
      <c r="F50" s="330">
        <v>0.2055</v>
      </c>
      <c r="G50" s="333">
        <f>IF(OR(C41=5),F50,0)</f>
        <v>0</v>
      </c>
      <c r="H50" s="330">
        <v>0.25</v>
      </c>
      <c r="I50" s="333">
        <f>IF(OR(C43="E"),H50,0)</f>
        <v>0</v>
      </c>
      <c r="J50" s="333">
        <f>IF(OR(C43="E"),1,0)</f>
        <v>0</v>
      </c>
      <c r="N50" s="88"/>
      <c r="O50" s="9">
        <f t="shared" si="0"/>
        <v>46</v>
      </c>
      <c r="P50" s="88"/>
    </row>
    <row r="51" spans="3:16" s="330" customFormat="1" ht="12.75" hidden="1">
      <c r="C51" s="331"/>
      <c r="D51" s="360">
        <v>0.192</v>
      </c>
      <c r="E51" s="332">
        <f>IF(OR(C39=6),D51,0)</f>
        <v>0</v>
      </c>
      <c r="F51" s="330">
        <v>0.204</v>
      </c>
      <c r="G51" s="333">
        <f>IF(OR(C41=6),F51,0)</f>
        <v>0</v>
      </c>
      <c r="H51" s="330">
        <v>0.257</v>
      </c>
      <c r="I51" s="333">
        <f>IF(OR(C43="F"),H51,0)</f>
        <v>0</v>
      </c>
      <c r="J51" s="333">
        <f>IF(OR(C43="F"),1,0)</f>
        <v>0</v>
      </c>
      <c r="N51" s="88"/>
      <c r="O51" s="9">
        <f t="shared" si="0"/>
        <v>47</v>
      </c>
      <c r="P51" s="88"/>
    </row>
    <row r="52" spans="3:16" s="330" customFormat="1" ht="12.75" hidden="1">
      <c r="C52" s="331"/>
      <c r="D52" s="360">
        <v>0.176</v>
      </c>
      <c r="E52" s="332">
        <f>IF(OR(C39=7),D52,0)</f>
        <v>0</v>
      </c>
      <c r="F52" s="330">
        <v>0.201</v>
      </c>
      <c r="G52" s="333">
        <f>IF(OR(C41=7),F52,0)</f>
        <v>0</v>
      </c>
      <c r="H52" s="330">
        <v>0.261</v>
      </c>
      <c r="I52" s="333">
        <f>IF(OR(C43="G"),H52,0)</f>
        <v>0</v>
      </c>
      <c r="J52" s="333">
        <f>IF(OR(C43="G"),1,0)</f>
        <v>0</v>
      </c>
      <c r="N52" s="88"/>
      <c r="O52" s="9">
        <f t="shared" si="0"/>
        <v>48</v>
      </c>
      <c r="P52" s="88"/>
    </row>
    <row r="53" spans="3:16" s="330" customFormat="1" ht="12.75" hidden="1">
      <c r="C53" s="331"/>
      <c r="D53" s="360">
        <v>0.16</v>
      </c>
      <c r="E53" s="332">
        <f>IF(OR(C39=8),D53,0)</f>
        <v>0</v>
      </c>
      <c r="F53" s="330">
        <v>0.199</v>
      </c>
      <c r="G53" s="333">
        <f>IF(OR(C41=8),F53,0)</f>
        <v>0</v>
      </c>
      <c r="H53" s="330">
        <v>0.266</v>
      </c>
      <c r="I53" s="333">
        <f>IF(OR(C43="H"),H53,0)</f>
        <v>0</v>
      </c>
      <c r="J53" s="333">
        <f>IF(OR(C43="H"),1,0)</f>
        <v>0</v>
      </c>
      <c r="N53" s="88"/>
      <c r="O53" s="9">
        <f t="shared" si="0"/>
        <v>49</v>
      </c>
      <c r="P53" s="88"/>
    </row>
    <row r="54" spans="3:16" s="330" customFormat="1" ht="12.75" hidden="1">
      <c r="C54" s="331"/>
      <c r="D54" s="360">
        <v>0.144</v>
      </c>
      <c r="E54" s="332">
        <f>IF(OR(C39=9),D54,0)</f>
        <v>0</v>
      </c>
      <c r="F54" s="330">
        <v>0.196</v>
      </c>
      <c r="G54" s="333">
        <f>IF(OR(C41=9),F54,0)</f>
        <v>0</v>
      </c>
      <c r="H54" s="330">
        <v>0.272</v>
      </c>
      <c r="I54" s="333">
        <f>IF(OR(C43="I"),H54,0)</f>
        <v>0</v>
      </c>
      <c r="J54" s="333">
        <f>IF(OR(C43="I"),1,0)</f>
        <v>0</v>
      </c>
      <c r="N54" s="88"/>
      <c r="O54" s="9">
        <f t="shared" si="0"/>
        <v>50</v>
      </c>
      <c r="P54" s="88"/>
    </row>
    <row r="55" spans="3:16" s="330" customFormat="1" ht="12.75" hidden="1">
      <c r="C55" s="331"/>
      <c r="D55" s="360">
        <v>0.128</v>
      </c>
      <c r="E55" s="332">
        <f>IF(OR(C39=10),D55,0)</f>
        <v>0</v>
      </c>
      <c r="F55" s="330">
        <v>0.1935</v>
      </c>
      <c r="G55" s="333">
        <f>IF(OR(C41=10),F55,0)</f>
        <v>0</v>
      </c>
      <c r="H55" s="330">
        <v>0.277</v>
      </c>
      <c r="I55" s="333">
        <f>IF(OR(C43="J"),H55,0)</f>
        <v>0</v>
      </c>
      <c r="J55" s="333">
        <f>IF(OR(C43="J"),1,0)</f>
        <v>0</v>
      </c>
      <c r="N55" s="88"/>
      <c r="O55" s="9">
        <f t="shared" si="0"/>
        <v>51</v>
      </c>
      <c r="P55" s="88"/>
    </row>
    <row r="56" spans="3:16" s="330" customFormat="1" ht="12.75" hidden="1">
      <c r="C56" s="331"/>
      <c r="D56" s="360">
        <v>0.116</v>
      </c>
      <c r="E56" s="332">
        <f>IF(OR(C39=11),D56,0)</f>
        <v>0</v>
      </c>
      <c r="F56" s="330">
        <v>0.191</v>
      </c>
      <c r="G56" s="333">
        <f>IF(OR(C41=11),F56,0)</f>
        <v>0</v>
      </c>
      <c r="H56" s="330">
        <v>0.281</v>
      </c>
      <c r="I56" s="333">
        <f>IF(OR(C43="K"),H56,0)</f>
        <v>0</v>
      </c>
      <c r="J56" s="333">
        <f>IF(OR(C43="K"),1,0)</f>
        <v>0</v>
      </c>
      <c r="N56" s="88"/>
      <c r="O56" s="9">
        <f t="shared" si="0"/>
        <v>52</v>
      </c>
      <c r="P56" s="88"/>
    </row>
    <row r="57" spans="3:16" s="330" customFormat="1" ht="12.75" hidden="1">
      <c r="C57" s="331"/>
      <c r="D57" s="360">
        <v>0.104</v>
      </c>
      <c r="E57" s="332">
        <f>IF(OR(C39=12),D57,0)</f>
        <v>0</v>
      </c>
      <c r="F57" s="330">
        <v>0.189</v>
      </c>
      <c r="G57" s="333">
        <f>IF(OR(C41=12),F57,0)</f>
        <v>0</v>
      </c>
      <c r="H57" s="330">
        <v>0.29</v>
      </c>
      <c r="I57" s="333">
        <f>IF(OR(C43="L"),H57,0)</f>
        <v>0</v>
      </c>
      <c r="J57" s="333">
        <f>IF(OR(C43="L"),1,0)</f>
        <v>0</v>
      </c>
      <c r="N57" s="88"/>
      <c r="O57" s="9">
        <f t="shared" si="0"/>
        <v>53</v>
      </c>
      <c r="P57" s="88"/>
    </row>
    <row r="58" spans="3:16" s="330" customFormat="1" ht="12.75" hidden="1">
      <c r="C58" s="331"/>
      <c r="D58" s="360">
        <v>0.092</v>
      </c>
      <c r="E58" s="332">
        <f>IF(OR(C39=13),D58,0)</f>
        <v>0</v>
      </c>
      <c r="F58" s="330">
        <v>0.185</v>
      </c>
      <c r="G58" s="333">
        <f>IF(OR(C41=13),F58,0)</f>
        <v>0</v>
      </c>
      <c r="H58" s="330">
        <v>0.295</v>
      </c>
      <c r="I58" s="333">
        <f>IF(OR(C43="M"),H58,0)</f>
        <v>0</v>
      </c>
      <c r="J58" s="333">
        <f>IF(OR(C43="M"),1,0)</f>
        <v>0</v>
      </c>
      <c r="N58" s="88"/>
      <c r="O58" s="9">
        <f t="shared" si="0"/>
        <v>54</v>
      </c>
      <c r="P58" s="88"/>
    </row>
    <row r="59" spans="3:16" s="330" customFormat="1" ht="12.75" hidden="1">
      <c r="C59" s="331"/>
      <c r="D59" s="360">
        <v>0.08</v>
      </c>
      <c r="E59" s="332">
        <f>IF(OR(C39=14),D59,0)</f>
        <v>0</v>
      </c>
      <c r="F59" s="330">
        <v>0.182</v>
      </c>
      <c r="G59" s="333">
        <f>IF(OR(C41=14),F59,0)</f>
        <v>0</v>
      </c>
      <c r="H59" s="330">
        <v>0.302</v>
      </c>
      <c r="I59" s="333">
        <f>IF(OR(C43="N"),H59,0)</f>
        <v>0</v>
      </c>
      <c r="J59" s="333">
        <f>IF(OR(C43="N"),1,0)</f>
        <v>0</v>
      </c>
      <c r="N59" s="88"/>
      <c r="O59" s="9">
        <f t="shared" si="0"/>
        <v>55</v>
      </c>
      <c r="P59" s="88"/>
    </row>
    <row r="60" spans="3:16" s="330" customFormat="1" ht="12.75" hidden="1">
      <c r="C60" s="331"/>
      <c r="D60" s="360">
        <v>0.072</v>
      </c>
      <c r="E60" s="332">
        <f>IF(OR(C39=15),D60,0)</f>
        <v>0</v>
      </c>
      <c r="F60" s="330">
        <v>0.18</v>
      </c>
      <c r="G60" s="333">
        <f>IF(OR(C41=15),F60,0)</f>
        <v>0</v>
      </c>
      <c r="H60" s="330">
        <v>0.316</v>
      </c>
      <c r="I60" s="333">
        <f>IF(OR(C43="O"),H60,0)</f>
        <v>0</v>
      </c>
      <c r="J60" s="333">
        <f>IF(OR(C43="O"),1,0)</f>
        <v>0</v>
      </c>
      <c r="N60" s="88"/>
      <c r="O60" s="9">
        <f t="shared" si="0"/>
        <v>56</v>
      </c>
      <c r="P60" s="88"/>
    </row>
    <row r="61" spans="3:16" s="330" customFormat="1" ht="12.75" hidden="1">
      <c r="C61" s="331"/>
      <c r="D61" s="360">
        <v>0.064</v>
      </c>
      <c r="E61" s="332">
        <f>IF(OR(C39=16),D61,0)</f>
        <v>0</v>
      </c>
      <c r="F61" s="330">
        <v>0.177</v>
      </c>
      <c r="G61" s="333">
        <f>IF(OR(C41=16),F61,0)</f>
        <v>0</v>
      </c>
      <c r="H61" s="330">
        <v>0.323</v>
      </c>
      <c r="I61" s="333">
        <f>IF(OR(C43="P"),H61,0)</f>
        <v>0</v>
      </c>
      <c r="J61" s="333">
        <f>IF(OR(C43="P"),1,0)</f>
        <v>0</v>
      </c>
      <c r="N61" s="88"/>
      <c r="O61" s="9">
        <f t="shared" si="0"/>
        <v>57</v>
      </c>
      <c r="P61" s="88"/>
    </row>
    <row r="62" spans="3:16" s="330" customFormat="1" ht="12.75" hidden="1">
      <c r="C62" s="331"/>
      <c r="D62" s="360">
        <v>0.056</v>
      </c>
      <c r="E62" s="332">
        <f>IF(OR(C39=17),D62,0)</f>
        <v>0</v>
      </c>
      <c r="F62" s="330">
        <v>0.173</v>
      </c>
      <c r="G62" s="333">
        <f>IF(OR(C41=17),F62,0)</f>
        <v>0</v>
      </c>
      <c r="H62" s="330">
        <v>0.332</v>
      </c>
      <c r="I62" s="333">
        <f>IF(OR(C43="Q"),H62,0)</f>
        <v>0</v>
      </c>
      <c r="J62" s="333">
        <f>IF(OR(C43="Q"),1,0)</f>
        <v>0</v>
      </c>
      <c r="N62" s="88"/>
      <c r="O62" s="9">
        <f t="shared" si="0"/>
        <v>58</v>
      </c>
      <c r="P62" s="88"/>
    </row>
    <row r="63" spans="3:16" s="330" customFormat="1" ht="12.75" hidden="1">
      <c r="C63" s="331"/>
      <c r="D63" s="360">
        <v>0.048</v>
      </c>
      <c r="E63" s="332">
        <f>IF(OR(C39=18),D63,0)</f>
        <v>0</v>
      </c>
      <c r="F63" s="330">
        <v>0.1695</v>
      </c>
      <c r="G63" s="333">
        <f>IF(OR(C41=18),F63,0)</f>
        <v>0</v>
      </c>
      <c r="H63" s="330">
        <v>0.339</v>
      </c>
      <c r="I63" s="333">
        <f>IF(OR(C43="R"),H63,0)</f>
        <v>0</v>
      </c>
      <c r="J63" s="333">
        <f>IF(OR(C43="R"),1,0)</f>
        <v>0</v>
      </c>
      <c r="N63" s="88"/>
      <c r="O63" s="9">
        <f t="shared" si="0"/>
        <v>59</v>
      </c>
      <c r="P63" s="88"/>
    </row>
    <row r="64" spans="3:16" s="330" customFormat="1" ht="12.75" hidden="1">
      <c r="C64" s="331"/>
      <c r="D64" s="360">
        <v>0.04</v>
      </c>
      <c r="E64" s="332">
        <f>IF(OR(C39=19),D64,0)</f>
        <v>0</v>
      </c>
      <c r="F64" s="330">
        <v>0.166</v>
      </c>
      <c r="G64" s="333">
        <f>IF(OR(C41=19),F64,0)</f>
        <v>0</v>
      </c>
      <c r="H64" s="330">
        <v>0.348</v>
      </c>
      <c r="I64" s="333">
        <f>IF(OR(C43="S"),H64,0)</f>
        <v>0</v>
      </c>
      <c r="J64" s="333">
        <f>IF(OR(C43="S"),1,0)</f>
        <v>0</v>
      </c>
      <c r="N64" s="88"/>
      <c r="O64" s="9">
        <f t="shared" si="0"/>
        <v>60</v>
      </c>
      <c r="P64" s="88"/>
    </row>
    <row r="65" spans="3:16" s="330" customFormat="1" ht="12.75" hidden="1">
      <c r="C65" s="331"/>
      <c r="D65" s="360">
        <v>0.036</v>
      </c>
      <c r="E65" s="332">
        <f>IF(OR(C39=20),D65,0)</f>
        <v>0</v>
      </c>
      <c r="F65" s="330">
        <v>0.161</v>
      </c>
      <c r="G65" s="333">
        <f>IF(OR(C41=20),F65,0)</f>
        <v>0</v>
      </c>
      <c r="H65" s="330">
        <v>0.358</v>
      </c>
      <c r="I65" s="333">
        <f>IF(OR(C43="T"),H65,0)</f>
        <v>0</v>
      </c>
      <c r="J65" s="333">
        <f>IF(OR(C43="T"),1,0)</f>
        <v>0</v>
      </c>
      <c r="N65" s="88"/>
      <c r="O65" s="9">
        <f t="shared" si="0"/>
        <v>61</v>
      </c>
      <c r="P65" s="88"/>
    </row>
    <row r="66" spans="3:16" s="330" customFormat="1" ht="12.75" hidden="1">
      <c r="C66" s="331"/>
      <c r="D66" s="360">
        <v>0.032</v>
      </c>
      <c r="E66" s="332">
        <f>IF(OR(C39=21),D66,0)</f>
        <v>0</v>
      </c>
      <c r="F66" s="330">
        <v>0.159</v>
      </c>
      <c r="G66" s="333">
        <f>IF(OR(C41=21),F66,0)</f>
        <v>0</v>
      </c>
      <c r="H66" s="330">
        <v>0.368</v>
      </c>
      <c r="I66" s="333">
        <f>IF(OR(C43="U"),H66,0)</f>
        <v>0</v>
      </c>
      <c r="J66" s="333">
        <f>IF(OR(C43="U"),1,0)</f>
        <v>0</v>
      </c>
      <c r="N66" s="88"/>
      <c r="O66" s="9">
        <f t="shared" si="0"/>
        <v>62</v>
      </c>
      <c r="P66" s="88"/>
    </row>
    <row r="67" spans="3:16" s="330" customFormat="1" ht="12.75" hidden="1">
      <c r="C67" s="331"/>
      <c r="D67" s="360">
        <v>0.028</v>
      </c>
      <c r="E67" s="332">
        <f>IF(OR(C39=22),D67,0)</f>
        <v>0</v>
      </c>
      <c r="F67" s="330">
        <v>0.157</v>
      </c>
      <c r="G67" s="333">
        <f>IF(OR(C41=22),F67,0)</f>
        <v>0</v>
      </c>
      <c r="H67" s="330">
        <v>0.377</v>
      </c>
      <c r="I67" s="333">
        <f>IF(OR(C43="V"),H67,0)</f>
        <v>0</v>
      </c>
      <c r="J67" s="333">
        <f>IF(OR(C43="V"),1,0)</f>
        <v>0</v>
      </c>
      <c r="N67" s="88"/>
      <c r="O67" s="9">
        <f t="shared" si="0"/>
        <v>63</v>
      </c>
      <c r="P67" s="88"/>
    </row>
    <row r="68" spans="3:16" s="330" customFormat="1" ht="12.75" hidden="1">
      <c r="C68" s="331"/>
      <c r="D68" s="360">
        <v>0.024</v>
      </c>
      <c r="E68" s="332">
        <f>IF(OR(C39=23),D68,0)</f>
        <v>0</v>
      </c>
      <c r="F68" s="330">
        <v>0.154</v>
      </c>
      <c r="G68" s="333">
        <f>IF(OR(C41=23),F68,0)</f>
        <v>0</v>
      </c>
      <c r="H68" s="330">
        <v>0.386</v>
      </c>
      <c r="I68" s="333">
        <f>IF(OR(C43="W"),H68,0)</f>
        <v>0</v>
      </c>
      <c r="J68" s="333">
        <f>IF(OR(C43="W"),1,0)</f>
        <v>0</v>
      </c>
      <c r="N68" s="88"/>
      <c r="O68" s="9">
        <f t="shared" si="0"/>
        <v>64</v>
      </c>
      <c r="P68" s="88"/>
    </row>
    <row r="69" spans="3:16" s="330" customFormat="1" ht="12.75" hidden="1">
      <c r="C69" s="331"/>
      <c r="D69" s="360">
        <v>0.022</v>
      </c>
      <c r="E69" s="332">
        <f>IF(OR(C39=24),D69,0)</f>
        <v>0</v>
      </c>
      <c r="F69" s="330">
        <v>0.152</v>
      </c>
      <c r="G69" s="333">
        <f>IF(OR(C41=24),F69,0)</f>
        <v>0</v>
      </c>
      <c r="H69" s="330">
        <v>0.397</v>
      </c>
      <c r="I69" s="333">
        <f>IF(OR(C43="X"),H69,0)</f>
        <v>0</v>
      </c>
      <c r="J69" s="333">
        <f>IF(OR(C43="X"),1,0)</f>
        <v>0</v>
      </c>
      <c r="N69" s="88"/>
      <c r="O69" s="9">
        <f t="shared" si="0"/>
        <v>65</v>
      </c>
      <c r="P69" s="88"/>
    </row>
    <row r="70" spans="3:16" s="330" customFormat="1" ht="12.75" hidden="1">
      <c r="C70" s="331"/>
      <c r="D70" s="360">
        <v>0.02</v>
      </c>
      <c r="E70" s="332">
        <f>IF(OR(C39=25),D70,0)</f>
        <v>0</v>
      </c>
      <c r="F70" s="330">
        <v>0.1495</v>
      </c>
      <c r="G70" s="333">
        <f>IF(OR(C41=25),F70,0)</f>
        <v>0</v>
      </c>
      <c r="H70" s="330">
        <v>0.404</v>
      </c>
      <c r="I70" s="333">
        <f>IF(OR(C43="Y"),H70,0)</f>
        <v>0</v>
      </c>
      <c r="J70" s="333">
        <f>IF(OR(C43="Y"),1,0)</f>
        <v>0</v>
      </c>
      <c r="N70" s="88"/>
      <c r="O70" s="9">
        <f t="shared" si="0"/>
        <v>66</v>
      </c>
      <c r="P70" s="88"/>
    </row>
    <row r="71" spans="3:16" s="330" customFormat="1" ht="12.75" hidden="1">
      <c r="C71" s="331"/>
      <c r="D71" s="360">
        <v>0.018</v>
      </c>
      <c r="E71" s="332">
        <f>IF(OR(C39=26),D71,0)</f>
        <v>0</v>
      </c>
      <c r="F71" s="330">
        <v>0.147</v>
      </c>
      <c r="G71" s="333">
        <f>IF(OR(C41=26),F71,0)</f>
        <v>0</v>
      </c>
      <c r="H71" s="330">
        <v>0.413</v>
      </c>
      <c r="I71" s="333">
        <f>IF(OR(C43="Z"),H71,0)</f>
        <v>0</v>
      </c>
      <c r="J71" s="333">
        <f>IF(OR(C43="Z"),1,0)</f>
        <v>0</v>
      </c>
      <c r="N71" s="88"/>
      <c r="O71" s="9">
        <f aca="true" t="shared" si="1" ref="O71:O84">O70+1</f>
        <v>67</v>
      </c>
      <c r="P71" s="88"/>
    </row>
    <row r="72" spans="3:16" s="330" customFormat="1" ht="12.75" hidden="1">
      <c r="C72" s="331"/>
      <c r="D72" s="360">
        <v>0.0164</v>
      </c>
      <c r="E72" s="332">
        <f>IF(OR(C39=27),D72,0)</f>
        <v>0</v>
      </c>
      <c r="F72" s="330">
        <v>0.144</v>
      </c>
      <c r="G72" s="333">
        <f>IF(OR(C41=27),F72,0)</f>
        <v>0</v>
      </c>
      <c r="I72" s="335">
        <f>SUM(I46:I71)</f>
        <v>0</v>
      </c>
      <c r="J72" s="89">
        <f>SUM(J45:J71)</f>
        <v>0</v>
      </c>
      <c r="N72" s="88"/>
      <c r="O72" s="9">
        <f t="shared" si="1"/>
        <v>68</v>
      </c>
      <c r="P72" s="88"/>
    </row>
    <row r="73" spans="3:16" s="330" customFormat="1" ht="12.75" hidden="1">
      <c r="C73" s="331"/>
      <c r="D73" s="360">
        <v>0.0148</v>
      </c>
      <c r="E73" s="332">
        <f>IF(OR(C39=28),D73,0)</f>
        <v>0</v>
      </c>
      <c r="F73" s="330">
        <v>0.1405</v>
      </c>
      <c r="G73" s="333">
        <f>IF(OR(C41=28),F73,0)</f>
        <v>0</v>
      </c>
      <c r="J73" s="331"/>
      <c r="K73" s="89"/>
      <c r="N73" s="88"/>
      <c r="O73" s="9">
        <f t="shared" si="1"/>
        <v>69</v>
      </c>
      <c r="P73" s="88"/>
    </row>
    <row r="74" spans="3:16" s="330" customFormat="1" ht="12.75" hidden="1">
      <c r="C74" s="331"/>
      <c r="D74" s="360">
        <v>0.0136</v>
      </c>
      <c r="E74" s="332">
        <f>IF(OR(C39=29),D74,0)</f>
        <v>0</v>
      </c>
      <c r="F74" s="330">
        <v>0.136</v>
      </c>
      <c r="G74" s="333">
        <f>IF(OR(C41=29),F74,0)</f>
        <v>0</v>
      </c>
      <c r="J74" s="331"/>
      <c r="K74" s="89"/>
      <c r="N74" s="88"/>
      <c r="O74" s="9">
        <f t="shared" si="1"/>
        <v>70</v>
      </c>
      <c r="P74" s="88"/>
    </row>
    <row r="75" spans="3:16" s="330" customFormat="1" ht="12.75" hidden="1">
      <c r="C75" s="331"/>
      <c r="D75" s="360">
        <v>0.0124</v>
      </c>
      <c r="E75" s="332">
        <f>IF(OR(C39=30),D75,0)</f>
        <v>0</v>
      </c>
      <c r="F75" s="330">
        <v>0.1285</v>
      </c>
      <c r="G75" s="333">
        <f>IF(OR(C41=30),F75,0)</f>
        <v>0</v>
      </c>
      <c r="J75" s="331"/>
      <c r="K75" s="89"/>
      <c r="N75" s="88"/>
      <c r="O75" s="9">
        <f t="shared" si="1"/>
        <v>71</v>
      </c>
      <c r="P75" s="88"/>
    </row>
    <row r="76" spans="3:16" s="330" customFormat="1" ht="12.75" hidden="1">
      <c r="C76" s="331"/>
      <c r="D76" s="360">
        <v>0.0116</v>
      </c>
      <c r="E76" s="332">
        <f>IF(OR(C39=31),D76,0)</f>
        <v>0</v>
      </c>
      <c r="F76" s="330">
        <v>0.12</v>
      </c>
      <c r="G76" s="333">
        <f>IF(OR(C41=31),F76,0)</f>
        <v>0</v>
      </c>
      <c r="J76" s="331"/>
      <c r="K76" s="89"/>
      <c r="N76" s="88"/>
      <c r="O76" s="9">
        <f t="shared" si="1"/>
        <v>72</v>
      </c>
      <c r="P76" s="88"/>
    </row>
    <row r="77" spans="3:16" s="330" customFormat="1" ht="12.75" hidden="1">
      <c r="C77" s="331"/>
      <c r="D77" s="360">
        <v>0.0108</v>
      </c>
      <c r="E77" s="332">
        <f>IF(OR(C39=32),D77,0)</f>
        <v>0</v>
      </c>
      <c r="F77" s="330">
        <v>0.116</v>
      </c>
      <c r="G77" s="333">
        <f>IF(OR(C41=32),F77,0)</f>
        <v>0</v>
      </c>
      <c r="J77" s="331"/>
      <c r="K77" s="89"/>
      <c r="N77" s="88"/>
      <c r="O77" s="9">
        <f t="shared" si="1"/>
        <v>73</v>
      </c>
      <c r="P77" s="88"/>
    </row>
    <row r="78" spans="3:16" s="330" customFormat="1" ht="12.75" hidden="1">
      <c r="C78" s="331"/>
      <c r="D78" s="360">
        <v>0.01</v>
      </c>
      <c r="E78" s="332">
        <f>IF(OR(C39=33),D78,0)</f>
        <v>0</v>
      </c>
      <c r="F78" s="330">
        <v>0.113</v>
      </c>
      <c r="G78" s="333">
        <f>IF(OR(C41=33),F78,0)</f>
        <v>0</v>
      </c>
      <c r="J78" s="331"/>
      <c r="K78" s="89"/>
      <c r="N78" s="88"/>
      <c r="O78" s="9">
        <f t="shared" si="1"/>
        <v>74</v>
      </c>
      <c r="P78" s="88"/>
    </row>
    <row r="79" spans="3:16" s="330" customFormat="1" ht="12.75" hidden="1">
      <c r="C79" s="331"/>
      <c r="D79" s="360">
        <v>0.0092</v>
      </c>
      <c r="E79" s="332">
        <f>IF(OR(C39=34),D79,0)</f>
        <v>0</v>
      </c>
      <c r="F79" s="330">
        <v>0.111</v>
      </c>
      <c r="G79" s="333">
        <f>IF(OR(C41=34),F79,0)</f>
        <v>0</v>
      </c>
      <c r="J79" s="331"/>
      <c r="K79" s="89"/>
      <c r="N79" s="88"/>
      <c r="O79" s="9">
        <f t="shared" si="1"/>
        <v>75</v>
      </c>
      <c r="P79" s="88"/>
    </row>
    <row r="80" spans="3:16" s="330" customFormat="1" ht="12.75" hidden="1">
      <c r="C80" s="331"/>
      <c r="D80" s="360">
        <v>0.0084</v>
      </c>
      <c r="E80" s="332">
        <f>IF(OR(C39=35),D80,0)</f>
        <v>0</v>
      </c>
      <c r="F80" s="330">
        <v>0.11</v>
      </c>
      <c r="G80" s="333">
        <f>IF(OR(C41=35),F80,0)</f>
        <v>0</v>
      </c>
      <c r="J80" s="331"/>
      <c r="K80" s="89"/>
      <c r="N80" s="88"/>
      <c r="O80" s="9">
        <f t="shared" si="1"/>
        <v>76</v>
      </c>
      <c r="P80" s="88"/>
    </row>
    <row r="81" spans="3:16" s="330" customFormat="1" ht="12.75" hidden="1">
      <c r="C81" s="331"/>
      <c r="D81" s="360">
        <v>0.0076</v>
      </c>
      <c r="E81" s="332">
        <f>IF(OR(C39=36),D81,0)</f>
        <v>0</v>
      </c>
      <c r="F81" s="330">
        <v>0.1065</v>
      </c>
      <c r="G81" s="333">
        <f>IF(OR(C41=36),F81,0)</f>
        <v>0</v>
      </c>
      <c r="J81" s="331"/>
      <c r="K81" s="89"/>
      <c r="N81" s="88"/>
      <c r="O81" s="9">
        <f t="shared" si="1"/>
        <v>77</v>
      </c>
      <c r="P81" s="88"/>
    </row>
    <row r="82" spans="3:16" s="330" customFormat="1" ht="12.75" hidden="1">
      <c r="C82" s="331"/>
      <c r="D82" s="360">
        <v>0.0068</v>
      </c>
      <c r="E82" s="332">
        <f>IF(OR(C39=37),D82,0)</f>
        <v>0</v>
      </c>
      <c r="F82" s="330">
        <v>0.104</v>
      </c>
      <c r="G82" s="333">
        <f>IF(OR(C41=37),F82,0)</f>
        <v>0</v>
      </c>
      <c r="J82" s="331"/>
      <c r="K82" s="89"/>
      <c r="N82" s="88"/>
      <c r="O82" s="9">
        <f t="shared" si="1"/>
        <v>78</v>
      </c>
      <c r="P82" s="88"/>
    </row>
    <row r="83" spans="3:16" s="330" customFormat="1" ht="12.75" hidden="1">
      <c r="C83" s="331"/>
      <c r="D83" s="360">
        <v>0.006</v>
      </c>
      <c r="E83" s="332">
        <f>IF(OR(C39=38),D83,0)</f>
        <v>0</v>
      </c>
      <c r="F83" s="330">
        <v>0.1015</v>
      </c>
      <c r="G83" s="333">
        <f>IF(OR(C41=38),F83,0)</f>
        <v>0</v>
      </c>
      <c r="J83" s="331"/>
      <c r="K83" s="89"/>
      <c r="N83" s="88"/>
      <c r="O83" s="9">
        <f t="shared" si="1"/>
        <v>79</v>
      </c>
      <c r="P83" s="88"/>
    </row>
    <row r="84" spans="3:16" s="330" customFormat="1" ht="12.75" hidden="1">
      <c r="C84" s="331"/>
      <c r="D84" s="360">
        <v>0.0052</v>
      </c>
      <c r="E84" s="332">
        <f>IF(OR(C39=39),D84,0)</f>
        <v>0</v>
      </c>
      <c r="F84" s="330">
        <v>0.0995</v>
      </c>
      <c r="G84" s="333">
        <f>IF(OR(C41=39),F84,0)</f>
        <v>0</v>
      </c>
      <c r="J84" s="331"/>
      <c r="K84" s="89"/>
      <c r="N84" s="88"/>
      <c r="O84" s="9">
        <f t="shared" si="1"/>
        <v>80</v>
      </c>
      <c r="P84" s="88"/>
    </row>
    <row r="85" spans="3:16" s="330" customFormat="1" ht="12.75" hidden="1">
      <c r="C85" s="331"/>
      <c r="D85" s="360">
        <v>0.0048</v>
      </c>
      <c r="E85" s="332">
        <f>IF(OR(C39=40),D85,0)</f>
        <v>0</v>
      </c>
      <c r="F85" s="330">
        <v>0.098</v>
      </c>
      <c r="G85" s="333">
        <f>IF(OR(C41=40),F85,0)</f>
        <v>0</v>
      </c>
      <c r="J85" s="331"/>
      <c r="K85" s="89"/>
      <c r="N85" s="88"/>
      <c r="O85" s="9"/>
      <c r="P85" s="88"/>
    </row>
    <row r="86" spans="3:16" s="330" customFormat="1" ht="12.75" hidden="1">
      <c r="C86" s="331"/>
      <c r="D86" s="360">
        <v>0.0044</v>
      </c>
      <c r="E86" s="332">
        <f>IF(OR(C39=41),D86,0)</f>
        <v>0</v>
      </c>
      <c r="F86" s="330">
        <v>0.096</v>
      </c>
      <c r="G86" s="333">
        <f>IF(OR(C41=41),F86,0)</f>
        <v>0</v>
      </c>
      <c r="J86" s="331"/>
      <c r="K86" s="89"/>
      <c r="N86" s="88"/>
      <c r="O86" s="9"/>
      <c r="P86" s="88"/>
    </row>
    <row r="87" spans="3:16" s="330" customFormat="1" ht="12.75" hidden="1">
      <c r="C87" s="331"/>
      <c r="D87" s="360">
        <v>0.004</v>
      </c>
      <c r="E87" s="332">
        <f>IF(OR(C39=42),D87,0)</f>
        <v>0</v>
      </c>
      <c r="F87" s="330">
        <v>0.0935</v>
      </c>
      <c r="G87" s="333">
        <f>IF(OR(C41=42),F87,0)</f>
        <v>0</v>
      </c>
      <c r="J87" s="331"/>
      <c r="K87" s="89"/>
      <c r="N87" s="88"/>
      <c r="O87" s="9"/>
      <c r="P87" s="88"/>
    </row>
    <row r="88" spans="3:16" s="330" customFormat="1" ht="12.75" hidden="1">
      <c r="C88" s="331"/>
      <c r="D88" s="360">
        <v>0.0036</v>
      </c>
      <c r="E88" s="332">
        <f>IF(OR(C39=43),D88,0)</f>
        <v>0</v>
      </c>
      <c r="F88" s="330">
        <v>0.089</v>
      </c>
      <c r="G88" s="333">
        <f>IF(OR(C41=43),F88,0)</f>
        <v>0</v>
      </c>
      <c r="J88" s="331"/>
      <c r="K88" s="89"/>
      <c r="N88" s="88"/>
      <c r="O88" s="9"/>
      <c r="P88" s="88"/>
    </row>
    <row r="89" spans="3:16" s="330" customFormat="1" ht="12.75" hidden="1">
      <c r="C89" s="331"/>
      <c r="D89" s="360">
        <v>0.0032</v>
      </c>
      <c r="E89" s="332">
        <f>IF(OR(C39=44),D89,0)</f>
        <v>0</v>
      </c>
      <c r="F89" s="330">
        <v>0.086</v>
      </c>
      <c r="G89" s="333">
        <f>IF(OR(C41=44),F89,0)</f>
        <v>0</v>
      </c>
      <c r="J89" s="331"/>
      <c r="K89" s="89"/>
      <c r="N89" s="88"/>
      <c r="O89" s="9"/>
      <c r="P89" s="88"/>
    </row>
    <row r="90" spans="3:16" s="330" customFormat="1" ht="12.75" hidden="1">
      <c r="C90" s="331"/>
      <c r="D90" s="360">
        <v>0.0028</v>
      </c>
      <c r="E90" s="332">
        <f>IF(OR(C39=45),D90,0)</f>
        <v>0</v>
      </c>
      <c r="F90" s="330">
        <v>0.082</v>
      </c>
      <c r="G90" s="333">
        <f>IF(OR(C41=45),F90,0)</f>
        <v>0</v>
      </c>
      <c r="J90" s="331"/>
      <c r="K90" s="89"/>
      <c r="N90" s="88"/>
      <c r="O90" s="9"/>
      <c r="P90" s="88"/>
    </row>
    <row r="91" spans="3:16" s="330" customFormat="1" ht="12.75" hidden="1">
      <c r="C91" s="331"/>
      <c r="D91" s="360">
        <v>0.0024</v>
      </c>
      <c r="E91" s="332">
        <f>IF(OR(C39=46),D91,0)</f>
        <v>0</v>
      </c>
      <c r="F91" s="330">
        <v>0.081</v>
      </c>
      <c r="G91" s="333">
        <f>IF(OR(C41=46),F91,0)</f>
        <v>0</v>
      </c>
      <c r="J91" s="331"/>
      <c r="K91" s="89"/>
      <c r="N91" s="88"/>
      <c r="O91" s="9"/>
      <c r="P91" s="88"/>
    </row>
    <row r="92" spans="3:16" s="330" customFormat="1" ht="12.75" hidden="1">
      <c r="C92" s="331"/>
      <c r="D92" s="360">
        <v>0.002</v>
      </c>
      <c r="E92" s="332">
        <f>IF(OR(C39=47),D92,0)</f>
        <v>0</v>
      </c>
      <c r="F92" s="330">
        <v>0.0785</v>
      </c>
      <c r="G92" s="333">
        <f>IF(OR(C41=47),F92,0)</f>
        <v>0</v>
      </c>
      <c r="J92" s="331"/>
      <c r="K92" s="89"/>
      <c r="N92" s="88"/>
      <c r="O92" s="9"/>
      <c r="P92" s="88"/>
    </row>
    <row r="93" spans="3:16" s="330" customFormat="1" ht="12.75" hidden="1">
      <c r="C93" s="331"/>
      <c r="D93" s="360">
        <v>0.0016</v>
      </c>
      <c r="E93" s="332">
        <f>IF(OR(C39=48),D93,0)</f>
        <v>0</v>
      </c>
      <c r="F93" s="330">
        <v>0.076</v>
      </c>
      <c r="G93" s="333">
        <f>IF(OR(C41=48),F93,0)</f>
        <v>0</v>
      </c>
      <c r="J93" s="331"/>
      <c r="K93" s="89"/>
      <c r="N93" s="88"/>
      <c r="O93" s="9"/>
      <c r="P93" s="88"/>
    </row>
    <row r="94" spans="3:16" s="330" customFormat="1" ht="12.75" hidden="1">
      <c r="C94" s="331"/>
      <c r="D94" s="360">
        <v>0.0012</v>
      </c>
      <c r="E94" s="332">
        <f>IF(OR(C39=49),D94,0)</f>
        <v>0</v>
      </c>
      <c r="F94" s="330">
        <v>0.073</v>
      </c>
      <c r="G94" s="333">
        <f>IF(OR(C41=49),F94,0)</f>
        <v>0</v>
      </c>
      <c r="J94" s="331"/>
      <c r="K94" s="89"/>
      <c r="N94" s="88"/>
      <c r="O94" s="9"/>
      <c r="P94" s="88"/>
    </row>
    <row r="95" spans="3:16" s="330" customFormat="1" ht="12.75" hidden="1">
      <c r="C95" s="331"/>
      <c r="D95" s="360">
        <v>0.001</v>
      </c>
      <c r="E95" s="332">
        <f>IF(OR(C39=50),D95,0)</f>
        <v>0</v>
      </c>
      <c r="F95" s="330">
        <v>0.07</v>
      </c>
      <c r="G95" s="333">
        <f>IF(OR(C41=50),F95,0)</f>
        <v>0</v>
      </c>
      <c r="J95" s="331"/>
      <c r="K95" s="89"/>
      <c r="N95" s="88"/>
      <c r="O95" s="9"/>
      <c r="P95" s="88"/>
    </row>
    <row r="96" spans="3:16" s="330" customFormat="1" ht="12.75" hidden="1">
      <c r="C96" s="331"/>
      <c r="D96" s="360"/>
      <c r="E96" s="336">
        <f>SUM(E46:E95)</f>
        <v>0</v>
      </c>
      <c r="F96" s="330">
        <v>0.067</v>
      </c>
      <c r="G96" s="333">
        <f>IF(OR(C41=51),F86,0)</f>
        <v>0</v>
      </c>
      <c r="J96" s="331"/>
      <c r="K96" s="89"/>
      <c r="N96" s="88"/>
      <c r="O96" s="9"/>
      <c r="P96" s="88"/>
    </row>
    <row r="97" spans="3:16" s="330" customFormat="1" ht="12.75" hidden="1">
      <c r="C97" s="331"/>
      <c r="D97" s="360"/>
      <c r="F97" s="330">
        <v>0.0635</v>
      </c>
      <c r="G97" s="333">
        <f>IF(OR(C41=52),F97,0)</f>
        <v>0</v>
      </c>
      <c r="J97" s="331"/>
      <c r="K97" s="89"/>
      <c r="N97" s="88"/>
      <c r="O97" s="9"/>
      <c r="P97" s="88"/>
    </row>
    <row r="98" spans="3:16" s="330" customFormat="1" ht="12.75" hidden="1">
      <c r="C98" s="331"/>
      <c r="D98" s="360"/>
      <c r="F98" s="330">
        <v>0.0595</v>
      </c>
      <c r="G98" s="333">
        <f>IF(OR(C41=53),F98,0)</f>
        <v>0</v>
      </c>
      <c r="J98" s="331"/>
      <c r="K98" s="89"/>
      <c r="N98" s="88"/>
      <c r="O98" s="9"/>
      <c r="P98" s="88"/>
    </row>
    <row r="99" spans="3:16" s="330" customFormat="1" ht="12.75" hidden="1">
      <c r="C99" s="331"/>
      <c r="D99" s="360"/>
      <c r="F99" s="330">
        <v>0.055</v>
      </c>
      <c r="G99" s="333">
        <f>IF(OR(C41=54),F99,0)</f>
        <v>0</v>
      </c>
      <c r="J99" s="331"/>
      <c r="K99" s="89"/>
      <c r="N99" s="88"/>
      <c r="O99" s="9"/>
      <c r="P99" s="88"/>
    </row>
    <row r="100" spans="3:16" s="330" customFormat="1" ht="12.75" hidden="1">
      <c r="C100" s="331"/>
      <c r="D100" s="360"/>
      <c r="F100" s="330">
        <v>0.052</v>
      </c>
      <c r="G100" s="333">
        <f>IF(OR(C41=55),F100,0)</f>
        <v>0</v>
      </c>
      <c r="J100" s="331"/>
      <c r="K100" s="89"/>
      <c r="N100" s="88"/>
      <c r="O100" s="9"/>
      <c r="P100" s="88"/>
    </row>
    <row r="101" spans="3:16" s="330" customFormat="1" ht="12.75" hidden="1">
      <c r="C101" s="331"/>
      <c r="D101" s="360"/>
      <c r="F101" s="330">
        <v>0.0465</v>
      </c>
      <c r="G101" s="333">
        <f>IF(OR(C41=56),F101,0)</f>
        <v>0</v>
      </c>
      <c r="J101" s="331"/>
      <c r="K101" s="89"/>
      <c r="N101" s="88"/>
      <c r="O101" s="9"/>
      <c r="P101" s="88"/>
    </row>
    <row r="102" spans="3:16" s="330" customFormat="1" ht="12.75" hidden="1">
      <c r="C102" s="331"/>
      <c r="D102" s="360"/>
      <c r="F102" s="330">
        <v>0.043</v>
      </c>
      <c r="G102" s="333">
        <f>IF(OR(C41=57),F102,0)</f>
        <v>0</v>
      </c>
      <c r="J102" s="331"/>
      <c r="K102" s="89"/>
      <c r="N102" s="88"/>
      <c r="O102" s="9"/>
      <c r="P102" s="88"/>
    </row>
    <row r="103" spans="3:16" s="330" customFormat="1" ht="12.75" hidden="1">
      <c r="C103" s="331"/>
      <c r="D103" s="360"/>
      <c r="F103" s="330">
        <v>0.042</v>
      </c>
      <c r="G103" s="333">
        <f>IF(OR(C41=58),F103,0)</f>
        <v>0</v>
      </c>
      <c r="J103" s="331"/>
      <c r="K103" s="89"/>
      <c r="N103" s="88"/>
      <c r="O103" s="9"/>
      <c r="P103" s="88"/>
    </row>
    <row r="104" spans="3:16" s="330" customFormat="1" ht="12.75" hidden="1">
      <c r="C104" s="331"/>
      <c r="D104" s="360"/>
      <c r="F104" s="330">
        <v>0.041</v>
      </c>
      <c r="G104" s="333">
        <f>IF(OR(C41=59),F104,0)</f>
        <v>0</v>
      </c>
      <c r="J104" s="331"/>
      <c r="K104" s="89"/>
      <c r="N104" s="88"/>
      <c r="O104" s="9"/>
      <c r="P104" s="88"/>
    </row>
    <row r="105" spans="3:16" s="330" customFormat="1" ht="12.75" hidden="1">
      <c r="C105" s="331"/>
      <c r="D105" s="360"/>
      <c r="F105" s="330">
        <v>0.04</v>
      </c>
      <c r="G105" s="333">
        <f>IF(OR(C41=60),F105,0)</f>
        <v>0</v>
      </c>
      <c r="J105" s="331"/>
      <c r="K105" s="89"/>
      <c r="N105" s="88"/>
      <c r="O105" s="9"/>
      <c r="P105" s="88"/>
    </row>
    <row r="106" spans="3:16" s="330" customFormat="1" ht="12.75" hidden="1">
      <c r="C106" s="331"/>
      <c r="D106" s="360"/>
      <c r="F106" s="330">
        <v>0.039</v>
      </c>
      <c r="G106" s="333">
        <f>IF(OR(C41=61),F106,0)</f>
        <v>0</v>
      </c>
      <c r="J106" s="331"/>
      <c r="K106" s="89"/>
      <c r="N106" s="88"/>
      <c r="O106" s="9"/>
      <c r="P106" s="88"/>
    </row>
    <row r="107" spans="3:16" s="330" customFormat="1" ht="12.75" hidden="1">
      <c r="C107" s="331"/>
      <c r="D107" s="360"/>
      <c r="F107" s="330">
        <v>0.038</v>
      </c>
      <c r="G107" s="333">
        <f>IF(OR(C41=62),F107,0)</f>
        <v>0</v>
      </c>
      <c r="J107" s="331"/>
      <c r="K107" s="89"/>
      <c r="N107" s="88"/>
      <c r="O107" s="9"/>
      <c r="P107" s="88"/>
    </row>
    <row r="108" spans="3:16" s="330" customFormat="1" ht="12.75" hidden="1">
      <c r="C108" s="331"/>
      <c r="D108" s="360"/>
      <c r="F108" s="330">
        <v>0.037</v>
      </c>
      <c r="G108" s="333">
        <f>IF(OR(C41=63),F108,0)</f>
        <v>0</v>
      </c>
      <c r="J108" s="331"/>
      <c r="K108" s="89"/>
      <c r="N108" s="88"/>
      <c r="O108" s="9"/>
      <c r="P108" s="88"/>
    </row>
    <row r="109" spans="3:16" s="330" customFormat="1" ht="12.75" hidden="1">
      <c r="C109" s="331"/>
      <c r="D109" s="360"/>
      <c r="F109" s="330">
        <v>0.036</v>
      </c>
      <c r="G109" s="333">
        <f>IF(OR(C41=64),F109,0)</f>
        <v>0</v>
      </c>
      <c r="J109" s="331"/>
      <c r="K109" s="89"/>
      <c r="N109" s="88"/>
      <c r="O109" s="9"/>
      <c r="P109" s="88"/>
    </row>
    <row r="110" spans="3:16" s="330" customFormat="1" ht="12.75" hidden="1">
      <c r="C110" s="331"/>
      <c r="D110" s="360"/>
      <c r="F110" s="330">
        <v>0.035</v>
      </c>
      <c r="G110" s="333">
        <f>IF(OR(C41=65),F110,0)</f>
        <v>0</v>
      </c>
      <c r="J110" s="331"/>
      <c r="K110" s="89"/>
      <c r="N110" s="88"/>
      <c r="O110" s="9"/>
      <c r="P110" s="88"/>
    </row>
    <row r="111" spans="3:16" s="330" customFormat="1" ht="12.75" hidden="1">
      <c r="C111" s="331"/>
      <c r="D111" s="360"/>
      <c r="F111" s="330">
        <v>0.033</v>
      </c>
      <c r="G111" s="333">
        <f>IF(OR(C41=66),F111,0)</f>
        <v>0</v>
      </c>
      <c r="J111" s="331"/>
      <c r="K111" s="89"/>
      <c r="N111" s="88"/>
      <c r="O111" s="9"/>
      <c r="P111" s="88"/>
    </row>
    <row r="112" spans="3:16" s="330" customFormat="1" ht="12.75" hidden="1">
      <c r="C112" s="331"/>
      <c r="D112" s="360"/>
      <c r="F112" s="330">
        <v>0.032</v>
      </c>
      <c r="G112" s="333">
        <f>IF(OR(C41=67),F112,0)</f>
        <v>0</v>
      </c>
      <c r="J112" s="331"/>
      <c r="K112" s="89"/>
      <c r="N112" s="88"/>
      <c r="O112" s="9"/>
      <c r="P112" s="88"/>
    </row>
    <row r="113" spans="3:16" s="330" customFormat="1" ht="12.75" hidden="1">
      <c r="C113" s="331"/>
      <c r="D113" s="360"/>
      <c r="F113" s="330">
        <v>0.031</v>
      </c>
      <c r="G113" s="333">
        <f>IF(OR(C41=68),F113,0)</f>
        <v>0</v>
      </c>
      <c r="J113" s="331"/>
      <c r="K113" s="89"/>
      <c r="N113" s="88"/>
      <c r="O113" s="9"/>
      <c r="P113" s="88"/>
    </row>
    <row r="114" spans="3:16" s="330" customFormat="1" ht="12.75" hidden="1">
      <c r="C114" s="331"/>
      <c r="D114" s="360"/>
      <c r="F114" s="330">
        <v>0.0292</v>
      </c>
      <c r="G114" s="333">
        <f>IF(OR(C41=69),F114,0)</f>
        <v>0</v>
      </c>
      <c r="J114" s="331"/>
      <c r="K114" s="89"/>
      <c r="N114" s="88"/>
      <c r="O114" s="9"/>
      <c r="P114" s="88"/>
    </row>
    <row r="115" spans="3:16" s="330" customFormat="1" ht="12.75" hidden="1">
      <c r="C115" s="331"/>
      <c r="D115" s="360"/>
      <c r="F115" s="330">
        <v>0.028</v>
      </c>
      <c r="G115" s="333">
        <f>IF(OR(C41=70),F115,0)</f>
        <v>0</v>
      </c>
      <c r="J115" s="331"/>
      <c r="K115" s="89"/>
      <c r="N115" s="88"/>
      <c r="O115" s="9"/>
      <c r="P115" s="88"/>
    </row>
    <row r="116" spans="3:16" s="330" customFormat="1" ht="12.75" hidden="1">
      <c r="C116" s="331"/>
      <c r="D116" s="360"/>
      <c r="F116" s="330">
        <v>0.026</v>
      </c>
      <c r="G116" s="333">
        <f>IF(OR(C41=71),F116,0)</f>
        <v>0</v>
      </c>
      <c r="J116" s="331"/>
      <c r="K116" s="89"/>
      <c r="N116" s="88"/>
      <c r="O116" s="9"/>
      <c r="P116" s="88"/>
    </row>
    <row r="117" spans="3:16" s="330" customFormat="1" ht="12.75" hidden="1">
      <c r="C117" s="331"/>
      <c r="D117" s="360"/>
      <c r="F117" s="330">
        <v>0.025</v>
      </c>
      <c r="G117" s="333">
        <f>IF(OR(C41=72),F117,0)</f>
        <v>0</v>
      </c>
      <c r="J117" s="331"/>
      <c r="K117" s="89"/>
      <c r="N117" s="88"/>
      <c r="O117" s="9"/>
      <c r="P117" s="88"/>
    </row>
    <row r="118" spans="3:16" s="330" customFormat="1" ht="12.75" hidden="1">
      <c r="C118" s="331"/>
      <c r="D118" s="360"/>
      <c r="F118" s="330">
        <v>0.024</v>
      </c>
      <c r="G118" s="333">
        <f>IF(OR(C41=73),F118,0)</f>
        <v>0</v>
      </c>
      <c r="J118" s="331"/>
      <c r="K118" s="89"/>
      <c r="N118" s="88"/>
      <c r="O118" s="9"/>
      <c r="P118" s="88"/>
    </row>
    <row r="119" spans="3:16" s="330" customFormat="1" ht="12.75" hidden="1">
      <c r="C119" s="331"/>
      <c r="D119" s="360"/>
      <c r="F119" s="330">
        <v>0.0225</v>
      </c>
      <c r="G119" s="333">
        <f>IF(OR(C41=74),F119,0)</f>
        <v>0</v>
      </c>
      <c r="J119" s="331"/>
      <c r="K119" s="89"/>
      <c r="N119" s="88"/>
      <c r="O119" s="9"/>
      <c r="P119" s="88"/>
    </row>
    <row r="120" spans="3:16" s="330" customFormat="1" ht="12.75" hidden="1">
      <c r="C120" s="331"/>
      <c r="D120" s="360"/>
      <c r="F120" s="330">
        <v>0.021</v>
      </c>
      <c r="G120" s="333">
        <f>IF(OR(C41=75),F120,0)</f>
        <v>0</v>
      </c>
      <c r="J120" s="331"/>
      <c r="K120" s="89"/>
      <c r="N120" s="88"/>
      <c r="O120" s="9"/>
      <c r="P120" s="88"/>
    </row>
    <row r="121" spans="3:16" s="330" customFormat="1" ht="12.75" hidden="1">
      <c r="C121" s="331"/>
      <c r="D121" s="360"/>
      <c r="F121" s="330">
        <v>0.02</v>
      </c>
      <c r="G121" s="333">
        <f>IF(OR(C41=76),F121,0)</f>
        <v>0</v>
      </c>
      <c r="J121" s="331"/>
      <c r="K121" s="89"/>
      <c r="N121" s="88"/>
      <c r="O121" s="9"/>
      <c r="P121" s="88"/>
    </row>
    <row r="122" spans="3:16" s="330" customFormat="1" ht="12.75" hidden="1">
      <c r="C122" s="331"/>
      <c r="D122" s="360"/>
      <c r="F122" s="330">
        <v>0.018</v>
      </c>
      <c r="G122" s="333">
        <f>IF(OR(C41=77),F122,0)</f>
        <v>0</v>
      </c>
      <c r="J122" s="331"/>
      <c r="K122" s="89"/>
      <c r="N122" s="88"/>
      <c r="O122" s="9"/>
      <c r="P122" s="88"/>
    </row>
    <row r="123" spans="3:16" s="330" customFormat="1" ht="12.75" hidden="1">
      <c r="C123" s="331"/>
      <c r="D123" s="360"/>
      <c r="F123" s="330">
        <v>0.016</v>
      </c>
      <c r="G123" s="333">
        <f>IF(OR(C41=78),F123,0)</f>
        <v>0</v>
      </c>
      <c r="J123" s="331"/>
      <c r="K123" s="89"/>
      <c r="N123" s="88"/>
      <c r="O123" s="9"/>
      <c r="P123" s="88"/>
    </row>
    <row r="124" spans="3:16" s="330" customFormat="1" ht="12.75" hidden="1">
      <c r="C124" s="331"/>
      <c r="D124" s="360"/>
      <c r="F124" s="330">
        <v>0.0145</v>
      </c>
      <c r="G124" s="333">
        <f>IF(OR(C41=79),F124,0)</f>
        <v>0</v>
      </c>
      <c r="J124" s="331"/>
      <c r="K124" s="89"/>
      <c r="N124" s="88"/>
      <c r="O124" s="9"/>
      <c r="P124" s="88"/>
    </row>
    <row r="125" spans="3:16" s="330" customFormat="1" ht="12.75" hidden="1">
      <c r="C125" s="331"/>
      <c r="D125" s="360"/>
      <c r="F125" s="330">
        <v>0.0135</v>
      </c>
      <c r="G125" s="333">
        <f>IF(OR(C41=80),F125,0)</f>
        <v>0</v>
      </c>
      <c r="J125" s="331"/>
      <c r="K125" s="89"/>
      <c r="N125" s="88"/>
      <c r="O125" s="9"/>
      <c r="P125" s="88"/>
    </row>
    <row r="126" spans="3:16" s="330" customFormat="1" ht="12.75" hidden="1">
      <c r="C126" s="331"/>
      <c r="G126" s="88">
        <f>SUM(G46:G125)</f>
        <v>0</v>
      </c>
      <c r="J126" s="331"/>
      <c r="K126" s="89"/>
      <c r="N126" s="88"/>
      <c r="O126" s="9"/>
      <c r="P126" s="88"/>
    </row>
  </sheetData>
  <mergeCells count="30">
    <mergeCell ref="G31:I32"/>
    <mergeCell ref="G27:I28"/>
    <mergeCell ref="G35:I36"/>
    <mergeCell ref="J31:L31"/>
    <mergeCell ref="K32:L32"/>
    <mergeCell ref="J27:K27"/>
    <mergeCell ref="J25:K25"/>
    <mergeCell ref="C26:D26"/>
    <mergeCell ref="J8:K8"/>
    <mergeCell ref="J15:K15"/>
    <mergeCell ref="J26:K26"/>
    <mergeCell ref="J9:K9"/>
    <mergeCell ref="J10:L10"/>
    <mergeCell ref="J14:K14"/>
    <mergeCell ref="C14:D14"/>
    <mergeCell ref="C25:D25"/>
    <mergeCell ref="C15:D15"/>
    <mergeCell ref="B17:D17"/>
    <mergeCell ref="C18:D18"/>
    <mergeCell ref="C19:D19"/>
    <mergeCell ref="B2:I3"/>
    <mergeCell ref="J16:L16"/>
    <mergeCell ref="J13:K13"/>
    <mergeCell ref="J7:K7"/>
    <mergeCell ref="J2:M2"/>
    <mergeCell ref="J3:M3"/>
    <mergeCell ref="C8:D8"/>
    <mergeCell ref="C7:D7"/>
    <mergeCell ref="C13:D13"/>
    <mergeCell ref="C9:D9"/>
  </mergeCells>
  <conditionalFormatting sqref="C25:D25">
    <cfRule type="cellIs" priority="1" dxfId="1" operator="notBetween" stopIfTrue="1">
      <formula>0</formula>
      <formula>999</formula>
    </cfRule>
  </conditionalFormatting>
  <conditionalFormatting sqref="E25">
    <cfRule type="cellIs" priority="2" dxfId="0" operator="equal" stopIfTrue="1">
      <formula>"  Re-enter"</formula>
    </cfRule>
  </conditionalFormatting>
  <conditionalFormatting sqref="C27">
    <cfRule type="cellIs" priority="3" dxfId="1" operator="notBetween" stopIfTrue="1">
      <formula>0</formula>
      <formula>63</formula>
    </cfRule>
  </conditionalFormatting>
  <conditionalFormatting sqref="C29">
    <cfRule type="cellIs" priority="4" dxfId="1" operator="notBetween" stopIfTrue="1">
      <formula>0</formula>
      <formula>31</formula>
    </cfRule>
  </conditionalFormatting>
  <conditionalFormatting sqref="C31">
    <cfRule type="cellIs" priority="5" dxfId="1" operator="notBetween" stopIfTrue="1">
      <formula>0</formula>
      <formula>15</formula>
    </cfRule>
  </conditionalFormatting>
  <conditionalFormatting sqref="C33">
    <cfRule type="cellIs" priority="6" dxfId="1" operator="notBetween" stopIfTrue="1">
      <formula>0</formula>
      <formula>7</formula>
    </cfRule>
  </conditionalFormatting>
  <conditionalFormatting sqref="C35">
    <cfRule type="cellIs" priority="7" dxfId="1" operator="notBetween" stopIfTrue="1">
      <formula>0</formula>
      <formula>3</formula>
    </cfRule>
  </conditionalFormatting>
  <conditionalFormatting sqref="C37:C38">
    <cfRule type="cellIs" priority="8" dxfId="1" operator="notBetween" stopIfTrue="1">
      <formula>0</formula>
      <formula>1</formula>
    </cfRule>
  </conditionalFormatting>
  <conditionalFormatting sqref="D27 D31 D33 D35">
    <cfRule type="cellIs" priority="9" dxfId="0" operator="equal" stopIfTrue="1">
      <formula>"  Please Re-enter"</formula>
    </cfRule>
  </conditionalFormatting>
  <conditionalFormatting sqref="D29 D37:D43">
    <cfRule type="cellIs" priority="10" dxfId="8" operator="equal" stopIfTrue="1">
      <formula>"  Please Re-enter"</formula>
    </cfRule>
  </conditionalFormatting>
  <conditionalFormatting sqref="C39:C40 C42">
    <cfRule type="cellIs" priority="11" dxfId="1" operator="notBetween" stopIfTrue="1">
      <formula>0</formula>
      <formula>50</formula>
    </cfRule>
  </conditionalFormatting>
  <conditionalFormatting sqref="C41">
    <cfRule type="cellIs" priority="12" dxfId="1" operator="notBetween" stopIfTrue="1">
      <formula>0</formula>
      <formula>80</formula>
    </cfRule>
  </conditionalFormatting>
  <conditionalFormatting sqref="C43">
    <cfRule type="cellIs" priority="13" dxfId="1" operator="between" stopIfTrue="1">
      <formula>1</formula>
      <formula>9</formula>
    </cfRule>
  </conditionalFormatting>
  <conditionalFormatting sqref="H33">
    <cfRule type="cellIs" priority="14" dxfId="9" operator="equal" stopIfTrue="1">
      <formula>1</formula>
    </cfRule>
    <cfRule type="cellIs" priority="15" dxfId="9" operator="equal" stopIfTrue="1">
      <formula>0</formula>
    </cfRule>
  </conditionalFormatting>
  <dataValidations count="11">
    <dataValidation type="decimal" operator="greaterThan" allowBlank="1" showInputMessage="1" showErrorMessage="1" errorTitle="Please Re-enter" error="Numbers Only" sqref="C8:H8 C14:H14 C18:F18">
      <formula1>0.000001</formula1>
    </dataValidation>
    <dataValidation type="decimal" allowBlank="1" showInputMessage="1" showErrorMessage="1" errorTitle="Please Re-enter" error="Numbers 1 to 999 Only" sqref="C25:D25">
      <formula1>1</formula1>
      <formula2>999</formula2>
    </dataValidation>
    <dataValidation type="list" allowBlank="1" showInputMessage="1" showErrorMessage="1" errorTitle="Please Re-enter" error="Numbers 1 to 63 Only" sqref="C27">
      <formula1>$O$4:$O$67</formula1>
    </dataValidation>
    <dataValidation type="list" allowBlank="1" showInputMessage="1" showErrorMessage="1" errorTitle="Please Re-enter" error="Numbers 1 to 31 Only" sqref="C29">
      <formula1>$O$4:$O$35</formula1>
    </dataValidation>
    <dataValidation type="list" allowBlank="1" showInputMessage="1" showErrorMessage="1" errorTitle="Please Re-enter" error="Numbers 1 to 15 Only" sqref="C31">
      <formula1>$O$4:$O$19</formula1>
    </dataValidation>
    <dataValidation type="list" allowBlank="1" showInputMessage="1" showErrorMessage="1" errorTitle="Please Re-enter" error="Numbers 1 to 7 Only" sqref="C33">
      <formula1>$O$4:$O$11</formula1>
    </dataValidation>
    <dataValidation type="list" allowBlank="1" showInputMessage="1" showErrorMessage="1" errorTitle="Please Re-enter" error="Numbers 1 to 3 Only" sqref="C35">
      <formula1>$O$4:$O$7</formula1>
    </dataValidation>
    <dataValidation type="list" allowBlank="1" showInputMessage="1" showErrorMessage="1" errorTitle="Please Re-enter" error="Numbers 1 Only" sqref="C37">
      <formula1>$O$4:$O$5</formula1>
    </dataValidation>
    <dataValidation type="list" allowBlank="1" showInputMessage="1" showErrorMessage="1" errorTitle="Please Re-enter" error="Numbers 1 to 50 Only" sqref="C39">
      <formula1>$O$4:$O$54</formula1>
    </dataValidation>
    <dataValidation type="list" allowBlank="1" showInputMessage="1" showErrorMessage="1" errorTitle="Please Re-enter" error="Numbers 1 to 80 Only" sqref="C41">
      <formula1>$O$4:$O$84</formula1>
    </dataValidation>
    <dataValidation type="list" allowBlank="1" showInputMessage="1" showErrorMessage="1" errorTitle="Please Re-enter" error="Enter One Letters Only" sqref="C43">
      <formula1>$P$4:$P$30</formula1>
    </dataValidation>
  </dataValidations>
  <hyperlinks>
    <hyperlink ref="J3" r:id="rId1" display="www.ajhw.co.uk"/>
    <hyperlink ref="J2:M2" location="Introduction!A1" display="A.J.H. Computer Services"/>
  </hyperlink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4"/>
  <headerFooter alignWithMargins="0">
    <oddHeader>&amp;LBritish Imperial units Conversions - Length&amp;RDownloaded from www.ajhw.co.uk</oddHeader>
    <oddFooter>&amp;LA.J.H. Computer Services&amp;R© AJH 2016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5" customWidth="1"/>
    <col min="2" max="2" width="3.421875" style="5" customWidth="1"/>
    <col min="3" max="3" width="1.421875" style="5" customWidth="1"/>
    <col min="4" max="4" width="10.00390625" style="5" customWidth="1"/>
    <col min="5" max="6" width="11.421875" style="6" customWidth="1"/>
    <col min="7" max="10" width="11.421875" style="5" customWidth="1"/>
    <col min="11" max="11" width="2.28125" style="5" customWidth="1"/>
    <col min="12" max="13" width="10.7109375" style="5" customWidth="1"/>
    <col min="14" max="14" width="3.140625" style="5" customWidth="1"/>
    <col min="15" max="15" width="1.421875" style="6" customWidth="1"/>
    <col min="16" max="16" width="13.140625" style="7" hidden="1" customWidth="1"/>
    <col min="17" max="16384" width="9.140625" style="5" customWidth="1"/>
  </cols>
  <sheetData>
    <row r="1" ht="7.5" customHeight="1" thickBot="1"/>
    <row r="2" spans="2:21" ht="18.75" customHeight="1">
      <c r="B2" s="403" t="s">
        <v>13</v>
      </c>
      <c r="C2" s="404"/>
      <c r="D2" s="404"/>
      <c r="E2" s="404"/>
      <c r="F2" s="404"/>
      <c r="G2" s="404"/>
      <c r="H2" s="404"/>
      <c r="I2" s="404"/>
      <c r="J2" s="441" t="s">
        <v>1</v>
      </c>
      <c r="K2" s="441"/>
      <c r="L2" s="441"/>
      <c r="M2" s="441"/>
      <c r="N2" s="441"/>
      <c r="O2" s="442"/>
      <c r="P2" s="8"/>
      <c r="Q2" s="9"/>
      <c r="R2" s="9"/>
      <c r="S2" s="9"/>
      <c r="T2" s="9"/>
      <c r="U2" s="9"/>
    </row>
    <row r="3" spans="2:21" ht="12.75" customHeight="1" thickBot="1">
      <c r="B3" s="405"/>
      <c r="C3" s="393"/>
      <c r="D3" s="393"/>
      <c r="E3" s="393"/>
      <c r="F3" s="393"/>
      <c r="G3" s="393"/>
      <c r="H3" s="393"/>
      <c r="I3" s="393"/>
      <c r="J3" s="396" t="s">
        <v>0</v>
      </c>
      <c r="K3" s="396"/>
      <c r="L3" s="396"/>
      <c r="M3" s="396"/>
      <c r="N3" s="396"/>
      <c r="O3" s="383"/>
      <c r="P3" s="8"/>
      <c r="Q3" s="9"/>
      <c r="R3" s="9"/>
      <c r="S3" s="9"/>
      <c r="T3" s="9"/>
      <c r="U3" s="9"/>
    </row>
    <row r="4" spans="2:21" ht="12.75" customHeight="1" thickTop="1">
      <c r="B4" s="37"/>
      <c r="C4" s="38"/>
      <c r="D4" s="38"/>
      <c r="E4" s="3"/>
      <c r="F4" s="3"/>
      <c r="G4" s="3"/>
      <c r="H4" s="3"/>
      <c r="I4" s="3"/>
      <c r="J4" s="3"/>
      <c r="K4" s="3"/>
      <c r="L4" s="38"/>
      <c r="M4" s="38"/>
      <c r="N4" s="38"/>
      <c r="O4" s="39"/>
      <c r="P4" s="9"/>
      <c r="Q4" s="9"/>
      <c r="R4" s="9"/>
      <c r="S4" s="9"/>
      <c r="T4" s="9"/>
      <c r="U4" s="9"/>
    </row>
    <row r="5" spans="2:21" ht="18">
      <c r="B5" s="16"/>
      <c r="C5" s="2"/>
      <c r="D5" s="40" t="s">
        <v>60</v>
      </c>
      <c r="E5" s="40"/>
      <c r="F5" s="40"/>
      <c r="G5" s="29"/>
      <c r="H5" s="29"/>
      <c r="I5" s="2"/>
      <c r="J5" s="29"/>
      <c r="K5" s="2"/>
      <c r="L5" s="2"/>
      <c r="M5" s="2"/>
      <c r="N5" s="2"/>
      <c r="O5" s="41"/>
      <c r="P5" s="9"/>
      <c r="Q5" s="9"/>
      <c r="R5" s="9"/>
      <c r="S5" s="9"/>
      <c r="T5" s="9"/>
      <c r="U5" s="9"/>
    </row>
    <row r="6" spans="2:21" ht="7.5" customHeight="1">
      <c r="B6" s="16"/>
      <c r="C6" s="2"/>
      <c r="D6" s="2"/>
      <c r="E6" s="40"/>
      <c r="F6" s="40"/>
      <c r="G6" s="29"/>
      <c r="H6" s="29"/>
      <c r="I6" s="2"/>
      <c r="J6" s="29"/>
      <c r="K6" s="2"/>
      <c r="L6" s="2"/>
      <c r="M6" s="2"/>
      <c r="N6" s="2"/>
      <c r="O6" s="41"/>
      <c r="P6" s="9"/>
      <c r="Q6" s="9"/>
      <c r="R6" s="9"/>
      <c r="S6" s="9"/>
      <c r="T6" s="9"/>
      <c r="U6" s="9"/>
    </row>
    <row r="7" spans="2:21" ht="12.75">
      <c r="B7" s="368" t="s">
        <v>208</v>
      </c>
      <c r="C7" s="425"/>
      <c r="D7" s="425"/>
      <c r="E7" s="1" t="s">
        <v>203</v>
      </c>
      <c r="F7" s="1" t="s">
        <v>62</v>
      </c>
      <c r="G7" s="42" t="s">
        <v>63</v>
      </c>
      <c r="H7" s="42" t="s">
        <v>64</v>
      </c>
      <c r="I7" s="337" t="s">
        <v>65</v>
      </c>
      <c r="J7" s="337" t="s">
        <v>61</v>
      </c>
      <c r="K7" s="2"/>
      <c r="L7" s="29" t="s">
        <v>206</v>
      </c>
      <c r="M7" s="2"/>
      <c r="N7" s="2"/>
      <c r="O7" s="41"/>
      <c r="P7" s="9"/>
      <c r="Q7" s="9"/>
      <c r="R7" s="9"/>
      <c r="S7" s="9"/>
      <c r="T7" s="9"/>
      <c r="U7" s="9"/>
    </row>
    <row r="8" spans="2:21" s="11" customFormat="1" ht="15.75">
      <c r="B8" s="21"/>
      <c r="C8" s="399"/>
      <c r="D8" s="367"/>
      <c r="E8" s="324"/>
      <c r="F8" s="326"/>
      <c r="G8" s="327"/>
      <c r="H8" s="327"/>
      <c r="I8" s="327"/>
      <c r="J8" s="328"/>
      <c r="K8" s="4"/>
      <c r="L8" s="371">
        <f>IF(OR(P8=0),"",P8/1000000)</f>
      </c>
      <c r="M8" s="371"/>
      <c r="N8" s="4"/>
      <c r="O8" s="43"/>
      <c r="P8" s="10">
        <f>(J8*0.09290304)+(I8*0.83612736)+(H8*25.29285264)+(G8*1011.7141056)+(F8*4046.8564224)+(E8*485622.770688)+(C8*2589988.13)</f>
        <v>0</v>
      </c>
      <c r="Q8" s="10"/>
      <c r="R8" s="10"/>
      <c r="S8" s="10"/>
      <c r="T8" s="10"/>
      <c r="U8" s="10"/>
    </row>
    <row r="9" spans="2:21" ht="12.75">
      <c r="B9" s="16"/>
      <c r="C9" s="425" t="s">
        <v>205</v>
      </c>
      <c r="D9" s="425"/>
      <c r="E9" s="1" t="s">
        <v>204</v>
      </c>
      <c r="F9" s="1" t="s">
        <v>68</v>
      </c>
      <c r="G9" s="1" t="s">
        <v>112</v>
      </c>
      <c r="H9" s="1" t="s">
        <v>113</v>
      </c>
      <c r="I9" s="1" t="s">
        <v>67</v>
      </c>
      <c r="J9" s="1" t="s">
        <v>66</v>
      </c>
      <c r="K9" s="2"/>
      <c r="L9" s="425" t="s">
        <v>207</v>
      </c>
      <c r="M9" s="425"/>
      <c r="N9" s="2"/>
      <c r="O9" s="41"/>
      <c r="P9" s="49">
        <f>P8/10000</f>
        <v>0</v>
      </c>
      <c r="Q9" s="9"/>
      <c r="R9" s="9"/>
      <c r="S9" s="9"/>
      <c r="T9" s="9"/>
      <c r="U9" s="9"/>
    </row>
    <row r="10" spans="2:21" ht="12.75">
      <c r="B10" s="16"/>
      <c r="C10" s="2"/>
      <c r="D10" s="2"/>
      <c r="E10" s="17"/>
      <c r="F10" s="17"/>
      <c r="G10" s="17"/>
      <c r="H10" s="17"/>
      <c r="I10" s="17"/>
      <c r="J10" s="17"/>
      <c r="K10" s="17"/>
      <c r="L10" s="1"/>
      <c r="M10" s="1"/>
      <c r="N10" s="17"/>
      <c r="O10" s="18"/>
      <c r="P10" s="7">
        <f>IF(OR(P8=0),"",(P8*0.039536861035))</f>
      </c>
      <c r="Q10" s="9"/>
      <c r="R10" s="9"/>
      <c r="S10" s="9"/>
      <c r="T10" s="9"/>
      <c r="U10" s="9"/>
    </row>
    <row r="11" spans="2:21" ht="12.75">
      <c r="B11" s="16"/>
      <c r="C11" s="2"/>
      <c r="D11" s="2"/>
      <c r="E11" s="17"/>
      <c r="F11" s="1"/>
      <c r="G11" s="17"/>
      <c r="H11" s="1"/>
      <c r="I11" s="1"/>
      <c r="J11" s="1"/>
      <c r="K11" s="17"/>
      <c r="L11" s="29" t="s">
        <v>70</v>
      </c>
      <c r="M11" s="2"/>
      <c r="N11" s="17"/>
      <c r="O11" s="18"/>
      <c r="P11" s="7">
        <f>P8*0.039536861035</f>
        <v>0</v>
      </c>
      <c r="Q11" s="9"/>
      <c r="R11" s="9"/>
      <c r="S11" s="9"/>
      <c r="T11" s="9"/>
      <c r="U11" s="9"/>
    </row>
    <row r="12" spans="2:21" ht="15.75">
      <c r="B12" s="16"/>
      <c r="C12" s="2"/>
      <c r="D12" s="1" t="s">
        <v>62</v>
      </c>
      <c r="E12" s="1"/>
      <c r="F12" s="338" t="s">
        <v>208</v>
      </c>
      <c r="G12" s="1" t="s">
        <v>62</v>
      </c>
      <c r="H12" s="1" t="s">
        <v>63</v>
      </c>
      <c r="I12" s="1" t="s">
        <v>64</v>
      </c>
      <c r="J12" s="1"/>
      <c r="K12" s="17"/>
      <c r="L12" s="371">
        <f>IF(OR(P9=0),"",P9)</f>
      </c>
      <c r="M12" s="371"/>
      <c r="N12" s="17"/>
      <c r="O12" s="18"/>
      <c r="P12" s="7">
        <f>INT(ABS(P11)/160)</f>
        <v>0</v>
      </c>
      <c r="Q12" s="9"/>
      <c r="R12" s="9"/>
      <c r="S12" s="9"/>
      <c r="T12" s="9"/>
      <c r="U12" s="9"/>
    </row>
    <row r="13" spans="2:21" ht="12.75">
      <c r="B13" s="16"/>
      <c r="C13" s="2"/>
      <c r="D13" s="84">
        <f>IF(OR(P11&lt;1),"",P11/160)</f>
      </c>
      <c r="E13" s="75"/>
      <c r="F13" s="83">
        <f>IF(OR(P16&lt;0.001),"",P16)</f>
      </c>
      <c r="G13" s="157">
        <f>IF(OR(P17&lt;0.001),"",P17)</f>
      </c>
      <c r="H13" s="157">
        <f>IF(OR(P18&lt;0.001),"",P18)</f>
      </c>
      <c r="I13" s="158">
        <f>IF(OR(P19&lt;1),"",P19)</f>
      </c>
      <c r="J13" s="156"/>
      <c r="K13" s="17"/>
      <c r="L13" s="425" t="s">
        <v>69</v>
      </c>
      <c r="M13" s="425"/>
      <c r="N13" s="17"/>
      <c r="O13" s="18"/>
      <c r="P13" s="7">
        <f>INT((ABS(P11)-(P12*160))/40)</f>
        <v>0</v>
      </c>
      <c r="Q13" s="9"/>
      <c r="R13" s="9"/>
      <c r="S13" s="9"/>
      <c r="T13" s="9"/>
      <c r="U13" s="9"/>
    </row>
    <row r="14" spans="2:21" ht="12.75">
      <c r="B14" s="16"/>
      <c r="C14" s="2"/>
      <c r="D14" s="1" t="s">
        <v>68</v>
      </c>
      <c r="E14" s="1"/>
      <c r="F14" s="1" t="s">
        <v>205</v>
      </c>
      <c r="G14" s="1" t="s">
        <v>68</v>
      </c>
      <c r="H14" s="1" t="s">
        <v>112</v>
      </c>
      <c r="I14" s="1" t="s">
        <v>113</v>
      </c>
      <c r="J14" s="1"/>
      <c r="K14" s="17"/>
      <c r="L14" s="1"/>
      <c r="M14" s="1"/>
      <c r="N14" s="17"/>
      <c r="O14" s="18"/>
      <c r="P14" s="7">
        <f>P8*0.0000015444086</f>
        <v>0</v>
      </c>
      <c r="Q14" s="9"/>
      <c r="R14" s="9"/>
      <c r="S14" s="9"/>
      <c r="T14" s="9"/>
      <c r="U14" s="9"/>
    </row>
    <row r="15" spans="2:21" ht="12.75">
      <c r="B15" s="16"/>
      <c r="C15" s="2"/>
      <c r="D15" s="2"/>
      <c r="E15" s="17"/>
      <c r="F15" s="1"/>
      <c r="G15" s="17"/>
      <c r="H15" s="1"/>
      <c r="I15" s="1"/>
      <c r="J15" s="1"/>
      <c r="K15" s="17"/>
      <c r="L15" s="29" t="s">
        <v>71</v>
      </c>
      <c r="M15" s="2"/>
      <c r="N15" s="17"/>
      <c r="O15" s="18"/>
      <c r="P15" s="7">
        <f>P8*0.000000010725017015</f>
        <v>0</v>
      </c>
      <c r="Q15" s="9"/>
      <c r="R15" s="9"/>
      <c r="S15" s="9"/>
      <c r="T15" s="9"/>
      <c r="U15" s="9"/>
    </row>
    <row r="16" spans="2:21" ht="15.75">
      <c r="B16" s="16"/>
      <c r="C16" s="2"/>
      <c r="D16" s="2"/>
      <c r="E16" s="17"/>
      <c r="F16" s="75"/>
      <c r="G16" s="17"/>
      <c r="H16" s="75"/>
      <c r="I16" s="1"/>
      <c r="J16" s="1"/>
      <c r="K16" s="17"/>
      <c r="L16" s="443">
        <f>IF(OR(P8=0),"",P8)</f>
      </c>
      <c r="M16" s="443"/>
      <c r="N16" s="17"/>
      <c r="O16" s="18"/>
      <c r="P16" s="7">
        <f>INT(ABS(P11)/102400)</f>
        <v>0</v>
      </c>
      <c r="Q16" s="9"/>
      <c r="R16" s="9"/>
      <c r="S16" s="9"/>
      <c r="T16" s="9"/>
      <c r="U16" s="9"/>
    </row>
    <row r="17" spans="2:21" ht="12.75">
      <c r="B17" s="16"/>
      <c r="C17" s="2"/>
      <c r="D17" s="2"/>
      <c r="E17" s="17"/>
      <c r="F17" s="1"/>
      <c r="G17" s="17"/>
      <c r="H17" s="1"/>
      <c r="I17" s="1"/>
      <c r="J17" s="1"/>
      <c r="K17" s="17"/>
      <c r="L17" s="425" t="s">
        <v>72</v>
      </c>
      <c r="M17" s="425"/>
      <c r="N17" s="17"/>
      <c r="O17" s="18"/>
      <c r="P17" s="7">
        <f>INT((ABS(P11)-(P16*102400))/160)</f>
        <v>0</v>
      </c>
      <c r="Q17" s="9"/>
      <c r="R17" s="9"/>
      <c r="S17" s="9"/>
      <c r="T17" s="9"/>
      <c r="U17" s="9"/>
    </row>
    <row r="18" spans="2:21" ht="13.5" thickBot="1">
      <c r="B18" s="31"/>
      <c r="C18" s="155"/>
      <c r="D18" s="155"/>
      <c r="E18" s="32"/>
      <c r="F18" s="32"/>
      <c r="G18" s="32"/>
      <c r="H18" s="32"/>
      <c r="I18" s="32"/>
      <c r="J18" s="32"/>
      <c r="K18" s="32"/>
      <c r="L18" s="440"/>
      <c r="M18" s="440"/>
      <c r="N18" s="32"/>
      <c r="O18" s="35"/>
      <c r="P18" s="7">
        <f>INT((ABS(P11)-(P16*102400)-(P17*160))/40)</f>
        <v>0</v>
      </c>
      <c r="Q18" s="9"/>
      <c r="R18" s="9"/>
      <c r="S18" s="9"/>
      <c r="T18" s="9"/>
      <c r="U18" s="9"/>
    </row>
    <row r="19" ht="12.75">
      <c r="P19" s="7">
        <f>ABS(P11)-P16*102400-P17*160-P18*40</f>
        <v>0</v>
      </c>
    </row>
  </sheetData>
  <mergeCells count="13">
    <mergeCell ref="B2:I3"/>
    <mergeCell ref="J2:O2"/>
    <mergeCell ref="J3:O3"/>
    <mergeCell ref="L16:M16"/>
    <mergeCell ref="B7:D7"/>
    <mergeCell ref="L12:M12"/>
    <mergeCell ref="L13:M13"/>
    <mergeCell ref="C8:D8"/>
    <mergeCell ref="C9:D9"/>
    <mergeCell ref="L18:M18"/>
    <mergeCell ref="L9:M9"/>
    <mergeCell ref="L17:M17"/>
    <mergeCell ref="L8:M8"/>
  </mergeCells>
  <dataValidations count="1">
    <dataValidation type="decimal" allowBlank="1" showInputMessage="1" showErrorMessage="1" errorTitle="Please Re-enter" error="Numbers Only" sqref="C8:J8">
      <formula1>0.000001</formula1>
      <formula2>999999</formula2>
    </dataValidation>
  </dataValidations>
  <hyperlinks>
    <hyperlink ref="J3" r:id="rId1" display="www.ajhw.co.uk"/>
    <hyperlink ref="J2:O2" location="Introduction!A1" display="A.J.H. Computer Service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&amp;LBritish Imperial units Conversions - Area&amp;RDownloaded from www.ajhw.co.uk</oddHeader>
    <oddFooter>&amp;LA.J.H. Computer Services&amp;R© AJH 2016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S1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421875" style="5" customWidth="1"/>
    <col min="3" max="3" width="2.8515625" style="6" customWidth="1"/>
    <col min="4" max="4" width="10.00390625" style="6" customWidth="1"/>
    <col min="5" max="8" width="12.8515625" style="5" customWidth="1"/>
    <col min="9" max="9" width="10.8515625" style="5" customWidth="1"/>
    <col min="10" max="11" width="10.7109375" style="5" customWidth="1"/>
    <col min="12" max="12" width="6.140625" style="5" customWidth="1"/>
    <col min="13" max="13" width="1.421875" style="6" customWidth="1"/>
    <col min="14" max="14" width="7.00390625" style="7" hidden="1" customWidth="1"/>
    <col min="15" max="16384" width="9.140625" style="5" customWidth="1"/>
  </cols>
  <sheetData>
    <row r="1" ht="7.5" customHeight="1" thickBot="1"/>
    <row r="2" spans="2:19" ht="18.75" customHeight="1">
      <c r="B2" s="403" t="s">
        <v>13</v>
      </c>
      <c r="C2" s="404"/>
      <c r="D2" s="404"/>
      <c r="E2" s="404"/>
      <c r="F2" s="404"/>
      <c r="G2" s="404"/>
      <c r="H2" s="404"/>
      <c r="I2" s="404"/>
      <c r="J2" s="394" t="s">
        <v>1</v>
      </c>
      <c r="K2" s="394"/>
      <c r="L2" s="394"/>
      <c r="M2" s="395"/>
      <c r="N2" s="8"/>
      <c r="O2" s="9"/>
      <c r="P2" s="9"/>
      <c r="Q2" s="9"/>
      <c r="R2" s="9"/>
      <c r="S2" s="9"/>
    </row>
    <row r="3" spans="2:19" ht="12.75" customHeight="1" thickBot="1">
      <c r="B3" s="405"/>
      <c r="C3" s="393"/>
      <c r="D3" s="393"/>
      <c r="E3" s="393"/>
      <c r="F3" s="393"/>
      <c r="G3" s="393"/>
      <c r="H3" s="393"/>
      <c r="I3" s="393"/>
      <c r="J3" s="396" t="s">
        <v>0</v>
      </c>
      <c r="K3" s="396"/>
      <c r="L3" s="396"/>
      <c r="M3" s="383"/>
      <c r="N3" s="8"/>
      <c r="O3" s="9"/>
      <c r="P3" s="9"/>
      <c r="Q3" s="9"/>
      <c r="R3" s="9"/>
      <c r="S3" s="9"/>
    </row>
    <row r="4" spans="2:19" ht="12.75" customHeight="1" thickTop="1">
      <c r="B4" s="37"/>
      <c r="C4" s="3"/>
      <c r="D4" s="3"/>
      <c r="E4" s="3"/>
      <c r="F4" s="3"/>
      <c r="G4" s="3"/>
      <c r="H4" s="3"/>
      <c r="I4" s="3"/>
      <c r="J4" s="38"/>
      <c r="K4" s="38"/>
      <c r="L4" s="38"/>
      <c r="M4" s="39"/>
      <c r="N4" s="9"/>
      <c r="O4" s="9"/>
      <c r="P4" s="9"/>
      <c r="Q4" s="9"/>
      <c r="R4" s="9"/>
      <c r="S4" s="9"/>
    </row>
    <row r="5" spans="2:19" ht="18">
      <c r="B5" s="16"/>
      <c r="C5" s="40" t="s">
        <v>14</v>
      </c>
      <c r="D5" s="40"/>
      <c r="E5" s="29"/>
      <c r="F5" s="29"/>
      <c r="G5" s="2"/>
      <c r="H5" s="29"/>
      <c r="I5" s="2"/>
      <c r="J5" s="2"/>
      <c r="K5" s="2"/>
      <c r="L5" s="2"/>
      <c r="M5" s="41"/>
      <c r="N5" s="9"/>
      <c r="O5" s="9"/>
      <c r="P5" s="9"/>
      <c r="Q5" s="9"/>
      <c r="R5" s="9"/>
      <c r="S5" s="9"/>
    </row>
    <row r="6" spans="2:19" ht="7.5" customHeight="1">
      <c r="B6" s="16"/>
      <c r="C6" s="40"/>
      <c r="D6" s="40"/>
      <c r="E6" s="29"/>
      <c r="F6" s="29"/>
      <c r="G6" s="2"/>
      <c r="H6" s="29"/>
      <c r="I6" s="2"/>
      <c r="J6" s="2"/>
      <c r="K6" s="2"/>
      <c r="L6" s="2"/>
      <c r="M6" s="41"/>
      <c r="N6" s="9"/>
      <c r="O6" s="9"/>
      <c r="P6" s="9"/>
      <c r="Q6" s="9"/>
      <c r="R6" s="9"/>
      <c r="S6" s="9"/>
    </row>
    <row r="7" spans="2:19" ht="12.75">
      <c r="B7" s="16"/>
      <c r="C7" s="425" t="s">
        <v>9</v>
      </c>
      <c r="D7" s="425"/>
      <c r="E7" s="337" t="s">
        <v>2</v>
      </c>
      <c r="F7" s="42" t="s">
        <v>8</v>
      </c>
      <c r="G7" s="29" t="s">
        <v>6</v>
      </c>
      <c r="H7" s="29" t="s">
        <v>11</v>
      </c>
      <c r="I7" s="2"/>
      <c r="J7" s="29" t="s">
        <v>15</v>
      </c>
      <c r="K7" s="2"/>
      <c r="L7" s="2"/>
      <c r="M7" s="41"/>
      <c r="N7" s="9"/>
      <c r="O7" s="9"/>
      <c r="P7" s="9"/>
      <c r="Q7" s="9"/>
      <c r="R7" s="9"/>
      <c r="S7" s="9"/>
    </row>
    <row r="8" spans="2:19" s="11" customFormat="1" ht="15.75">
      <c r="B8" s="21"/>
      <c r="C8" s="427"/>
      <c r="D8" s="369"/>
      <c r="E8" s="327"/>
      <c r="F8" s="327"/>
      <c r="G8" s="327"/>
      <c r="H8" s="328"/>
      <c r="I8" s="4"/>
      <c r="J8" s="371">
        <f>IF(OR(N9=0),"",N9)</f>
      </c>
      <c r="K8" s="371"/>
      <c r="L8" s="4"/>
      <c r="M8" s="43"/>
      <c r="N8" s="10">
        <f>H8+(G8*16)+(F8*224)+(E8*1792)+(C8*35840)</f>
        <v>0</v>
      </c>
      <c r="O8" s="10"/>
      <c r="P8" s="10"/>
      <c r="Q8" s="10"/>
      <c r="R8" s="10"/>
      <c r="S8" s="10"/>
    </row>
    <row r="9" spans="2:19" ht="12.75">
      <c r="B9" s="16"/>
      <c r="C9" s="425" t="s">
        <v>10</v>
      </c>
      <c r="D9" s="425"/>
      <c r="E9" s="1" t="s">
        <v>3</v>
      </c>
      <c r="F9" s="1" t="s">
        <v>7</v>
      </c>
      <c r="G9" s="1" t="s">
        <v>4</v>
      </c>
      <c r="H9" s="1" t="s">
        <v>5</v>
      </c>
      <c r="I9" s="2"/>
      <c r="J9" s="425" t="s">
        <v>16</v>
      </c>
      <c r="K9" s="425"/>
      <c r="L9" s="2"/>
      <c r="M9" s="41"/>
      <c r="N9" s="9">
        <f>N8*0.028349523125</f>
        <v>0</v>
      </c>
      <c r="O9" s="9"/>
      <c r="P9" s="9"/>
      <c r="Q9" s="9"/>
      <c r="R9" s="9"/>
      <c r="S9" s="9"/>
    </row>
    <row r="10" spans="2:19" ht="12.75">
      <c r="B10" s="16"/>
      <c r="C10" s="17"/>
      <c r="D10" s="17"/>
      <c r="E10" s="17"/>
      <c r="F10" s="17"/>
      <c r="G10" s="17"/>
      <c r="H10" s="17"/>
      <c r="I10" s="17"/>
      <c r="J10" s="425" t="s">
        <v>17</v>
      </c>
      <c r="K10" s="425"/>
      <c r="L10" s="17"/>
      <c r="M10" s="18"/>
      <c r="O10" s="9"/>
      <c r="P10" s="9"/>
      <c r="Q10" s="9"/>
      <c r="R10" s="9"/>
      <c r="S10" s="9"/>
    </row>
    <row r="11" spans="2:19" ht="13.5" thickBot="1">
      <c r="B11" s="31"/>
      <c r="C11" s="32"/>
      <c r="D11" s="32"/>
      <c r="E11" s="32"/>
      <c r="F11" s="32"/>
      <c r="G11" s="32"/>
      <c r="H11" s="32"/>
      <c r="I11" s="32"/>
      <c r="J11" s="44"/>
      <c r="K11" s="44"/>
      <c r="L11" s="32"/>
      <c r="M11" s="35"/>
      <c r="O11" s="9"/>
      <c r="P11" s="9"/>
      <c r="Q11" s="9"/>
      <c r="R11" s="9"/>
      <c r="S11" s="9"/>
    </row>
  </sheetData>
  <mergeCells count="9">
    <mergeCell ref="J10:K10"/>
    <mergeCell ref="C9:D9"/>
    <mergeCell ref="J2:M2"/>
    <mergeCell ref="J3:M3"/>
    <mergeCell ref="B2:I3"/>
    <mergeCell ref="J8:K8"/>
    <mergeCell ref="C8:D8"/>
    <mergeCell ref="C7:D7"/>
    <mergeCell ref="J9:K9"/>
  </mergeCells>
  <dataValidations count="1">
    <dataValidation type="decimal" allowBlank="1" showInputMessage="1" showErrorMessage="1" errorTitle="Please Re-enter" error="Numbers Only" sqref="C8:H8">
      <formula1>0.000001</formula1>
      <formula2>999999</formula2>
    </dataValidation>
  </dataValidations>
  <hyperlinks>
    <hyperlink ref="J3" r:id="rId1" display="www.ajhw.co.uk"/>
    <hyperlink ref="J2:M2" location="Introduction!A1" display="A.J.H. Computer Service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&amp;LBritish Imperial units Conversions - Weight&amp;RDownloaded from www.ajhw.co.uk</oddHeader>
    <oddFooter>&amp;LA.J.H. Computer Services&amp;R© AJH 2016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S27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.421875" style="5" customWidth="1"/>
    <col min="3" max="3" width="2.8515625" style="6" customWidth="1"/>
    <col min="4" max="4" width="10.00390625" style="6" customWidth="1"/>
    <col min="5" max="8" width="12.8515625" style="5" customWidth="1"/>
    <col min="9" max="9" width="4.00390625" style="5" customWidth="1"/>
    <col min="10" max="10" width="10.8515625" style="5" customWidth="1"/>
    <col min="11" max="12" width="10.7109375" style="5" customWidth="1"/>
    <col min="13" max="13" width="3.421875" style="6" customWidth="1"/>
    <col min="14" max="14" width="6.7109375" style="7" hidden="1" customWidth="1"/>
    <col min="15" max="16384" width="9.140625" style="5" customWidth="1"/>
  </cols>
  <sheetData>
    <row r="1" ht="7.5" customHeight="1" thickBot="1"/>
    <row r="2" spans="2:19" ht="18.75" customHeight="1">
      <c r="B2" s="403" t="s">
        <v>13</v>
      </c>
      <c r="C2" s="404"/>
      <c r="D2" s="404"/>
      <c r="E2" s="404"/>
      <c r="F2" s="404"/>
      <c r="G2" s="404"/>
      <c r="H2" s="404"/>
      <c r="I2" s="404"/>
      <c r="J2" s="441" t="s">
        <v>1</v>
      </c>
      <c r="K2" s="441"/>
      <c r="L2" s="441"/>
      <c r="M2" s="442"/>
      <c r="N2" s="8"/>
      <c r="O2" s="9"/>
      <c r="P2" s="9"/>
      <c r="Q2" s="9"/>
      <c r="R2" s="9"/>
      <c r="S2" s="9"/>
    </row>
    <row r="3" spans="2:19" ht="12.75" customHeight="1" thickBot="1">
      <c r="B3" s="405"/>
      <c r="C3" s="393"/>
      <c r="D3" s="393"/>
      <c r="E3" s="393"/>
      <c r="F3" s="393"/>
      <c r="G3" s="393"/>
      <c r="H3" s="393"/>
      <c r="I3" s="393"/>
      <c r="J3" s="396" t="s">
        <v>0</v>
      </c>
      <c r="K3" s="396"/>
      <c r="L3" s="396"/>
      <c r="M3" s="383"/>
      <c r="N3" s="8"/>
      <c r="O3" s="9"/>
      <c r="P3" s="9"/>
      <c r="Q3" s="9"/>
      <c r="R3" s="9"/>
      <c r="S3" s="9"/>
    </row>
    <row r="4" spans="2:19" ht="12.75" customHeight="1" thickTop="1">
      <c r="B4" s="37"/>
      <c r="C4" s="3"/>
      <c r="D4" s="3"/>
      <c r="E4" s="3"/>
      <c r="F4" s="3"/>
      <c r="G4" s="3"/>
      <c r="H4" s="3"/>
      <c r="I4" s="3"/>
      <c r="J4" s="3"/>
      <c r="K4" s="38"/>
      <c r="L4" s="38"/>
      <c r="M4" s="39"/>
      <c r="N4" s="9"/>
      <c r="O4" s="9"/>
      <c r="P4" s="9"/>
      <c r="Q4" s="9"/>
      <c r="R4" s="9"/>
      <c r="S4" s="9"/>
    </row>
    <row r="5" spans="2:19" ht="18">
      <c r="B5" s="16"/>
      <c r="C5" s="40" t="s">
        <v>80</v>
      </c>
      <c r="D5" s="40"/>
      <c r="E5" s="29"/>
      <c r="F5" s="29"/>
      <c r="G5" s="2"/>
      <c r="H5" s="29"/>
      <c r="I5" s="29"/>
      <c r="J5" s="2"/>
      <c r="K5" s="2"/>
      <c r="L5" s="2"/>
      <c r="M5" s="41"/>
      <c r="N5" s="9"/>
      <c r="O5" s="9"/>
      <c r="P5" s="9"/>
      <c r="Q5" s="9"/>
      <c r="R5" s="9"/>
      <c r="S5" s="9"/>
    </row>
    <row r="6" spans="2:19" ht="7.5" customHeight="1">
      <c r="B6" s="16"/>
      <c r="C6" s="40"/>
      <c r="D6" s="40"/>
      <c r="E6" s="29"/>
      <c r="F6" s="29"/>
      <c r="G6" s="2"/>
      <c r="H6" s="29"/>
      <c r="I6" s="29"/>
      <c r="J6" s="2"/>
      <c r="K6" s="2"/>
      <c r="L6" s="2"/>
      <c r="M6" s="41"/>
      <c r="N6" s="9"/>
      <c r="O6" s="9"/>
      <c r="P6" s="9"/>
      <c r="Q6" s="9"/>
      <c r="R6" s="9"/>
      <c r="S6" s="9"/>
    </row>
    <row r="7" spans="2:19" ht="12.75">
      <c r="B7" s="16"/>
      <c r="C7" s="433" t="s">
        <v>88</v>
      </c>
      <c r="D7" s="433"/>
      <c r="E7" s="42" t="s">
        <v>85</v>
      </c>
      <c r="F7" s="42" t="s">
        <v>83</v>
      </c>
      <c r="G7" s="29" t="s">
        <v>87</v>
      </c>
      <c r="H7" s="29" t="s">
        <v>86</v>
      </c>
      <c r="I7" s="29"/>
      <c r="J7" s="2"/>
      <c r="K7" s="29" t="s">
        <v>81</v>
      </c>
      <c r="L7" s="2"/>
      <c r="M7" s="41"/>
      <c r="N7" s="9"/>
      <c r="O7" s="9"/>
      <c r="P7" s="9"/>
      <c r="Q7" s="9"/>
      <c r="R7" s="9"/>
      <c r="S7" s="9"/>
    </row>
    <row r="8" spans="2:19" s="11" customFormat="1" ht="15.75">
      <c r="B8" s="21"/>
      <c r="C8" s="427"/>
      <c r="D8" s="369"/>
      <c r="E8" s="327"/>
      <c r="F8" s="327"/>
      <c r="G8" s="327"/>
      <c r="H8" s="328"/>
      <c r="I8" s="55"/>
      <c r="J8" s="4"/>
      <c r="K8" s="371">
        <f>IF(OR(N9=0),"",N9)</f>
      </c>
      <c r="L8" s="371"/>
      <c r="M8" s="43"/>
      <c r="N8" s="10">
        <f>H8+(G8*5)+(F8*20)+(E8*40)+(C8*160)+(G13*320)+(F13*1280)+(E13*4849)+(C13*51200)+(G21*720)+(F21*1440)+(E21*2880)+(H18*5760)+(G18*8640)+(F18*11520)+(E18*17280)+(C18*34560)+(G25*0.58)+(F25*996.61)+(E25*26908.57)</f>
        <v>0</v>
      </c>
      <c r="O8" s="10"/>
      <c r="P8" s="10"/>
      <c r="Q8" s="10"/>
      <c r="R8" s="10"/>
      <c r="S8" s="10"/>
    </row>
    <row r="9" spans="2:19" ht="12.75">
      <c r="B9" s="16"/>
      <c r="C9" s="425" t="s">
        <v>100</v>
      </c>
      <c r="D9" s="425"/>
      <c r="E9" s="1" t="s">
        <v>101</v>
      </c>
      <c r="F9" s="1" t="s">
        <v>84</v>
      </c>
      <c r="G9" s="1" t="s">
        <v>102</v>
      </c>
      <c r="H9" s="1" t="s">
        <v>103</v>
      </c>
      <c r="I9" s="1"/>
      <c r="J9" s="2"/>
      <c r="K9" s="425" t="s">
        <v>82</v>
      </c>
      <c r="L9" s="425"/>
      <c r="M9" s="41"/>
      <c r="N9" s="9">
        <f>N8*0.0284130625</f>
        <v>0</v>
      </c>
      <c r="O9" s="9"/>
      <c r="P9" s="9"/>
      <c r="Q9" s="9"/>
      <c r="R9" s="9"/>
      <c r="S9" s="9"/>
    </row>
    <row r="10" spans="2:19" ht="12.75">
      <c r="B10" s="16"/>
      <c r="C10" s="1"/>
      <c r="D10" s="1"/>
      <c r="E10" s="1"/>
      <c r="F10" s="1"/>
      <c r="G10" s="1"/>
      <c r="H10" s="1"/>
      <c r="I10" s="1"/>
      <c r="J10" s="425" t="s">
        <v>107</v>
      </c>
      <c r="K10" s="425"/>
      <c r="L10" s="425"/>
      <c r="M10" s="446"/>
      <c r="N10" s="9"/>
      <c r="O10" s="9"/>
      <c r="P10" s="9"/>
      <c r="Q10" s="9"/>
      <c r="R10" s="9"/>
      <c r="S10" s="9"/>
    </row>
    <row r="11" spans="2:19" ht="15">
      <c r="B11" s="16"/>
      <c r="C11" s="52" t="s">
        <v>89</v>
      </c>
      <c r="D11" s="17"/>
      <c r="E11" s="17"/>
      <c r="F11" s="17"/>
      <c r="G11" s="17"/>
      <c r="H11" s="17"/>
      <c r="I11" s="17"/>
      <c r="J11" s="425"/>
      <c r="K11" s="425"/>
      <c r="L11" s="425"/>
      <c r="M11" s="18"/>
      <c r="O11" s="9"/>
      <c r="P11" s="9"/>
      <c r="Q11" s="9"/>
      <c r="R11" s="9"/>
      <c r="S11" s="9"/>
    </row>
    <row r="12" spans="2:19" ht="12.75">
      <c r="B12" s="16"/>
      <c r="C12" s="425" t="s">
        <v>108</v>
      </c>
      <c r="D12" s="425"/>
      <c r="E12" s="20" t="s">
        <v>109</v>
      </c>
      <c r="F12" s="20" t="s">
        <v>90</v>
      </c>
      <c r="G12" s="20" t="s">
        <v>91</v>
      </c>
      <c r="H12" s="17"/>
      <c r="I12" s="17"/>
      <c r="J12" s="1"/>
      <c r="K12" s="1"/>
      <c r="L12" s="1"/>
      <c r="M12" s="18"/>
      <c r="O12" s="9"/>
      <c r="P12" s="9"/>
      <c r="Q12" s="9"/>
      <c r="R12" s="9"/>
      <c r="S12" s="9"/>
    </row>
    <row r="13" spans="2:19" s="11" customFormat="1" ht="15.75">
      <c r="B13" s="21"/>
      <c r="C13" s="427"/>
      <c r="D13" s="369"/>
      <c r="E13" s="327"/>
      <c r="F13" s="327"/>
      <c r="G13" s="328"/>
      <c r="H13" s="22"/>
      <c r="I13" s="22"/>
      <c r="J13" s="53"/>
      <c r="K13" s="53"/>
      <c r="L13" s="53"/>
      <c r="M13" s="23"/>
      <c r="N13" s="12">
        <f>INT(ABS(N8)/160)</f>
        <v>0</v>
      </c>
      <c r="O13" s="10"/>
      <c r="P13" s="10"/>
      <c r="Q13" s="10"/>
      <c r="R13" s="10"/>
      <c r="S13" s="10"/>
    </row>
    <row r="14" spans="2:19" ht="12.75">
      <c r="B14" s="16"/>
      <c r="C14" s="425" t="s">
        <v>111</v>
      </c>
      <c r="D14" s="425"/>
      <c r="E14" s="1" t="s">
        <v>110</v>
      </c>
      <c r="F14" s="1" t="s">
        <v>105</v>
      </c>
      <c r="G14" s="1" t="s">
        <v>106</v>
      </c>
      <c r="H14" s="17"/>
      <c r="I14" s="17"/>
      <c r="J14" s="1"/>
      <c r="K14" s="1"/>
      <c r="L14" s="1"/>
      <c r="M14" s="18"/>
      <c r="N14" s="7">
        <f>INT((ABS(N8)-(N13*160))/20)</f>
        <v>0</v>
      </c>
      <c r="O14" s="9"/>
      <c r="P14" s="9"/>
      <c r="Q14" s="9"/>
      <c r="R14" s="9"/>
      <c r="S14" s="9"/>
    </row>
    <row r="15" spans="2:19" ht="12.75">
      <c r="B15" s="16"/>
      <c r="C15" s="17"/>
      <c r="D15" s="54"/>
      <c r="E15" s="54"/>
      <c r="F15" s="54"/>
      <c r="G15" s="54"/>
      <c r="H15" s="17"/>
      <c r="I15" s="17"/>
      <c r="J15" s="1"/>
      <c r="K15" s="1"/>
      <c r="L15" s="1"/>
      <c r="M15" s="18"/>
      <c r="N15" s="7">
        <f>ABS(N8)-N13*160-N14*20</f>
        <v>0</v>
      </c>
      <c r="O15" s="9"/>
      <c r="P15" s="9"/>
      <c r="Q15" s="9"/>
      <c r="R15" s="9"/>
      <c r="S15" s="9"/>
    </row>
    <row r="16" spans="2:19" ht="15">
      <c r="B16" s="16"/>
      <c r="C16" s="447" t="s">
        <v>104</v>
      </c>
      <c r="D16" s="447"/>
      <c r="E16" s="447"/>
      <c r="F16" s="17"/>
      <c r="G16" s="17"/>
      <c r="H16" s="17"/>
      <c r="I16" s="17"/>
      <c r="J16" s="1"/>
      <c r="K16" s="1"/>
      <c r="L16" s="1"/>
      <c r="M16" s="18"/>
      <c r="O16" s="9"/>
      <c r="P16" s="9"/>
      <c r="Q16" s="9"/>
      <c r="R16" s="9"/>
      <c r="S16" s="9"/>
    </row>
    <row r="17" spans="2:19" ht="12.75">
      <c r="B17" s="16"/>
      <c r="C17" s="425" t="s">
        <v>99</v>
      </c>
      <c r="D17" s="425"/>
      <c r="E17" s="1" t="s">
        <v>98</v>
      </c>
      <c r="F17" s="1" t="s">
        <v>97</v>
      </c>
      <c r="G17" s="1" t="s">
        <v>96</v>
      </c>
      <c r="H17" s="1" t="s">
        <v>95</v>
      </c>
      <c r="I17" s="1"/>
      <c r="J17" s="1"/>
      <c r="K17" s="1"/>
      <c r="L17" s="1"/>
      <c r="M17" s="18"/>
      <c r="O17" s="9"/>
      <c r="P17" s="9"/>
      <c r="Q17" s="9"/>
      <c r="R17" s="9"/>
      <c r="S17" s="9"/>
    </row>
    <row r="18" spans="2:19" s="11" customFormat="1" ht="15.75">
      <c r="B18" s="21"/>
      <c r="C18" s="427"/>
      <c r="D18" s="369"/>
      <c r="E18" s="327"/>
      <c r="F18" s="327"/>
      <c r="G18" s="327"/>
      <c r="H18" s="328"/>
      <c r="I18" s="22"/>
      <c r="J18" s="53"/>
      <c r="K18" s="53"/>
      <c r="L18" s="53"/>
      <c r="M18" s="23"/>
      <c r="N18" s="12"/>
      <c r="O18" s="10"/>
      <c r="P18" s="10"/>
      <c r="Q18" s="10"/>
      <c r="R18" s="10"/>
      <c r="S18" s="10"/>
    </row>
    <row r="19" spans="2:19" ht="12.75">
      <c r="B19" s="16"/>
      <c r="C19" s="17"/>
      <c r="D19" s="17"/>
      <c r="E19" s="17"/>
      <c r="F19" s="17"/>
      <c r="G19" s="17"/>
      <c r="H19" s="17"/>
      <c r="I19" s="17"/>
      <c r="J19" s="1"/>
      <c r="K19" s="1"/>
      <c r="L19" s="1"/>
      <c r="M19" s="18"/>
      <c r="O19" s="9"/>
      <c r="P19" s="9"/>
      <c r="Q19" s="9"/>
      <c r="R19" s="9"/>
      <c r="S19" s="9"/>
    </row>
    <row r="20" spans="2:19" ht="12.75">
      <c r="B20" s="16"/>
      <c r="C20" s="17"/>
      <c r="D20" s="17"/>
      <c r="E20" s="1" t="s">
        <v>94</v>
      </c>
      <c r="F20" s="1" t="s">
        <v>93</v>
      </c>
      <c r="G20" s="1" t="s">
        <v>92</v>
      </c>
      <c r="H20" s="17"/>
      <c r="I20" s="17"/>
      <c r="J20" s="20" t="s">
        <v>88</v>
      </c>
      <c r="K20" s="20" t="s">
        <v>83</v>
      </c>
      <c r="L20" s="433" t="s">
        <v>86</v>
      </c>
      <c r="M20" s="445"/>
      <c r="O20" s="9"/>
      <c r="P20" s="9"/>
      <c r="Q20" s="9"/>
      <c r="R20" s="9"/>
      <c r="S20" s="9"/>
    </row>
    <row r="21" spans="2:19" s="11" customFormat="1" ht="15.75">
      <c r="B21" s="21"/>
      <c r="C21" s="22"/>
      <c r="D21" s="22"/>
      <c r="E21" s="339"/>
      <c r="F21" s="327"/>
      <c r="G21" s="328"/>
      <c r="H21" s="22"/>
      <c r="I21" s="22"/>
      <c r="J21" s="56">
        <f>IF(OR(N13&lt;0.001),"",N13)</f>
      </c>
      <c r="K21" s="57">
        <f>IF(OR(N14&lt;0.001),"",N14)</f>
      </c>
      <c r="L21" s="58">
        <f>IF(OR(N15&lt;0.001),"",N15)</f>
      </c>
      <c r="M21" s="23"/>
      <c r="N21" s="12"/>
      <c r="O21" s="10"/>
      <c r="P21" s="10"/>
      <c r="Q21" s="10"/>
      <c r="R21" s="10"/>
      <c r="S21" s="10"/>
    </row>
    <row r="22" spans="2:19" ht="12.75">
      <c r="B22" s="16"/>
      <c r="C22" s="17"/>
      <c r="D22" s="17"/>
      <c r="E22" s="17"/>
      <c r="F22" s="17"/>
      <c r="G22" s="17"/>
      <c r="H22" s="17"/>
      <c r="I22" s="17"/>
      <c r="J22" s="1" t="s">
        <v>100</v>
      </c>
      <c r="K22" s="1" t="s">
        <v>84</v>
      </c>
      <c r="L22" s="1" t="s">
        <v>103</v>
      </c>
      <c r="M22" s="18"/>
      <c r="O22" s="9"/>
      <c r="P22" s="9"/>
      <c r="Q22" s="9"/>
      <c r="R22" s="9"/>
      <c r="S22" s="9"/>
    </row>
    <row r="23" spans="2:19" ht="15">
      <c r="B23" s="16"/>
      <c r="C23" s="52" t="s">
        <v>114</v>
      </c>
      <c r="D23" s="17"/>
      <c r="E23" s="17"/>
      <c r="F23" s="17"/>
      <c r="G23" s="17"/>
      <c r="H23" s="17"/>
      <c r="I23" s="17"/>
      <c r="J23" s="1"/>
      <c r="K23" s="1"/>
      <c r="L23" s="1"/>
      <c r="M23" s="18"/>
      <c r="O23" s="9"/>
      <c r="P23" s="9"/>
      <c r="Q23" s="9"/>
      <c r="R23" s="9"/>
      <c r="S23" s="9"/>
    </row>
    <row r="24" spans="2:19" ht="12.75">
      <c r="B24" s="16"/>
      <c r="C24" s="17"/>
      <c r="D24" s="17"/>
      <c r="E24" s="1" t="s">
        <v>116</v>
      </c>
      <c r="F24" s="1" t="s">
        <v>115</v>
      </c>
      <c r="G24" s="1" t="s">
        <v>120</v>
      </c>
      <c r="H24" s="17"/>
      <c r="I24" s="17"/>
      <c r="J24" s="1"/>
      <c r="K24" s="425" t="s">
        <v>319</v>
      </c>
      <c r="L24" s="425"/>
      <c r="M24" s="18"/>
      <c r="N24" s="7">
        <f>IF(OR(N9&lt;0.001),"",N9/1000)</f>
      </c>
      <c r="O24" s="9"/>
      <c r="P24" s="9"/>
      <c r="Q24" s="9"/>
      <c r="R24" s="9"/>
      <c r="S24" s="9"/>
    </row>
    <row r="25" spans="2:19" s="11" customFormat="1" ht="15.75">
      <c r="B25" s="21"/>
      <c r="C25" s="22"/>
      <c r="D25" s="22"/>
      <c r="E25" s="314"/>
      <c r="F25" s="325"/>
      <c r="G25" s="315"/>
      <c r="H25" s="22"/>
      <c r="I25" s="22"/>
      <c r="J25" s="53"/>
      <c r="K25" s="444">
        <f>N24</f>
      </c>
      <c r="L25" s="444"/>
      <c r="M25" s="23"/>
      <c r="N25" s="12"/>
      <c r="O25" s="10"/>
      <c r="P25" s="10"/>
      <c r="Q25" s="10"/>
      <c r="R25" s="10"/>
      <c r="S25" s="10"/>
    </row>
    <row r="26" spans="2:19" ht="12.75">
      <c r="B26" s="16"/>
      <c r="C26" s="17"/>
      <c r="D26" s="17"/>
      <c r="E26" s="1" t="s">
        <v>119</v>
      </c>
      <c r="F26" s="1" t="s">
        <v>118</v>
      </c>
      <c r="G26" s="1" t="s">
        <v>117</v>
      </c>
      <c r="H26" s="17"/>
      <c r="I26" s="17"/>
      <c r="J26" s="1"/>
      <c r="K26" s="397" t="s">
        <v>320</v>
      </c>
      <c r="L26" s="397"/>
      <c r="M26" s="18"/>
      <c r="O26" s="9"/>
      <c r="P26" s="9"/>
      <c r="Q26" s="9"/>
      <c r="R26" s="9"/>
      <c r="S26" s="9"/>
    </row>
    <row r="27" spans="2:19" ht="13.5" thickBot="1">
      <c r="B27" s="31"/>
      <c r="C27" s="32"/>
      <c r="D27" s="32"/>
      <c r="E27" s="32"/>
      <c r="F27" s="32"/>
      <c r="G27" s="32"/>
      <c r="H27" s="32"/>
      <c r="I27" s="32"/>
      <c r="J27" s="32"/>
      <c r="K27" s="44"/>
      <c r="L27" s="44"/>
      <c r="M27" s="35"/>
      <c r="O27" s="9"/>
      <c r="P27" s="9"/>
      <c r="Q27" s="9"/>
      <c r="R27" s="9"/>
      <c r="S27" s="9"/>
    </row>
  </sheetData>
  <mergeCells count="20">
    <mergeCell ref="K26:L26"/>
    <mergeCell ref="J2:M2"/>
    <mergeCell ref="J3:M3"/>
    <mergeCell ref="B2:I3"/>
    <mergeCell ref="C12:D12"/>
    <mergeCell ref="C7:D7"/>
    <mergeCell ref="K9:L9"/>
    <mergeCell ref="C9:D9"/>
    <mergeCell ref="K8:L8"/>
    <mergeCell ref="C8:D8"/>
    <mergeCell ref="C13:D13"/>
    <mergeCell ref="C18:D18"/>
    <mergeCell ref="C17:D17"/>
    <mergeCell ref="C16:E16"/>
    <mergeCell ref="C14:D14"/>
    <mergeCell ref="K25:L25"/>
    <mergeCell ref="K24:L24"/>
    <mergeCell ref="L20:M20"/>
    <mergeCell ref="J10:M10"/>
    <mergeCell ref="J11:L11"/>
  </mergeCells>
  <dataValidations count="1">
    <dataValidation type="decimal" allowBlank="1" showInputMessage="1" showErrorMessage="1" errorTitle="Please Re-enter" error="Numbers Only" sqref="C8:H8 C13:G13 C18:H18 E21:G21 E25:G25">
      <formula1>0.000001</formula1>
      <formula2>999999</formula2>
    </dataValidation>
  </dataValidations>
  <hyperlinks>
    <hyperlink ref="J3" r:id="rId1" display="www.ajhw.co.uk"/>
    <hyperlink ref="J2:M2" location="Introduction!A1" display="A.J.H. Computer Service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&amp;LBritish Imperial units Conversions - Volume&amp;RDownloaded from www.ajhw.co.uk</oddHeader>
    <oddFooter>&amp;LA.J.H. Computer Services&amp;R© AJH 2016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421875" style="5" customWidth="1"/>
    <col min="3" max="3" width="2.8515625" style="6" customWidth="1"/>
    <col min="4" max="4" width="11.140625" style="6" customWidth="1"/>
    <col min="5" max="5" width="12.8515625" style="5" customWidth="1"/>
    <col min="6" max="6" width="14.00390625" style="5" customWidth="1"/>
    <col min="7" max="7" width="10.8515625" style="5" customWidth="1"/>
    <col min="8" max="9" width="10.7109375" style="5" customWidth="1"/>
    <col min="10" max="10" width="6.140625" style="5" customWidth="1"/>
    <col min="11" max="11" width="1.421875" style="6" customWidth="1"/>
    <col min="12" max="12" width="7.00390625" style="7" customWidth="1"/>
    <col min="13" max="16384" width="9.140625" style="5" customWidth="1"/>
  </cols>
  <sheetData>
    <row r="1" ht="7.5" customHeight="1" thickBot="1"/>
    <row r="2" spans="2:17" ht="18.75" customHeight="1">
      <c r="B2" s="448" t="s">
        <v>13</v>
      </c>
      <c r="C2" s="449"/>
      <c r="D2" s="449"/>
      <c r="E2" s="449"/>
      <c r="F2" s="449"/>
      <c r="G2" s="449"/>
      <c r="H2" s="394" t="s">
        <v>1</v>
      </c>
      <c r="I2" s="394"/>
      <c r="J2" s="394"/>
      <c r="K2" s="395"/>
      <c r="L2" s="8"/>
      <c r="M2" s="9"/>
      <c r="N2" s="9"/>
      <c r="O2" s="9"/>
      <c r="P2" s="9"/>
      <c r="Q2" s="9"/>
    </row>
    <row r="3" spans="2:17" ht="12.75" customHeight="1" thickBot="1">
      <c r="B3" s="450"/>
      <c r="C3" s="451"/>
      <c r="D3" s="451"/>
      <c r="E3" s="451"/>
      <c r="F3" s="451"/>
      <c r="G3" s="451"/>
      <c r="H3" s="396" t="s">
        <v>0</v>
      </c>
      <c r="I3" s="396"/>
      <c r="J3" s="396"/>
      <c r="K3" s="383"/>
      <c r="L3" s="8"/>
      <c r="M3" s="9"/>
      <c r="N3" s="9"/>
      <c r="O3" s="9"/>
      <c r="P3" s="9"/>
      <c r="Q3" s="9"/>
    </row>
    <row r="4" spans="2:17" ht="13.5" thickTop="1">
      <c r="B4" s="16"/>
      <c r="C4" s="17"/>
      <c r="D4" s="29"/>
      <c r="E4" s="17"/>
      <c r="F4" s="17"/>
      <c r="G4" s="17"/>
      <c r="H4" s="20"/>
      <c r="I4" s="20"/>
      <c r="J4" s="20"/>
      <c r="K4" s="18"/>
      <c r="M4" s="9"/>
      <c r="N4" s="9"/>
      <c r="O4" s="9"/>
      <c r="P4" s="9"/>
      <c r="Q4" s="9"/>
    </row>
    <row r="5" spans="2:17" ht="18">
      <c r="B5" s="16"/>
      <c r="C5" s="45" t="s">
        <v>136</v>
      </c>
      <c r="D5" s="29"/>
      <c r="E5" s="17"/>
      <c r="F5" s="17"/>
      <c r="G5" s="17"/>
      <c r="H5" s="20"/>
      <c r="I5" s="20"/>
      <c r="J5" s="20"/>
      <c r="K5" s="18"/>
      <c r="M5" s="9"/>
      <c r="N5" s="9"/>
      <c r="O5" s="9"/>
      <c r="P5" s="9"/>
      <c r="Q5" s="9"/>
    </row>
    <row r="6" spans="2:17" ht="7.5" customHeight="1">
      <c r="B6" s="16"/>
      <c r="C6" s="45"/>
      <c r="D6" s="29"/>
      <c r="E6" s="17"/>
      <c r="F6" s="17"/>
      <c r="G6" s="17"/>
      <c r="H6" s="20"/>
      <c r="I6" s="20"/>
      <c r="J6" s="20"/>
      <c r="K6" s="18"/>
      <c r="M6" s="9"/>
      <c r="N6" s="9"/>
      <c r="O6" s="9"/>
      <c r="P6" s="9"/>
      <c r="Q6" s="9"/>
    </row>
    <row r="7" spans="2:17" ht="12.75">
      <c r="B7" s="16"/>
      <c r="C7" s="425" t="s">
        <v>158</v>
      </c>
      <c r="D7" s="425"/>
      <c r="E7" s="17"/>
      <c r="F7" s="1" t="s">
        <v>159</v>
      </c>
      <c r="G7" s="1"/>
      <c r="H7" s="425" t="s">
        <v>160</v>
      </c>
      <c r="I7" s="425"/>
      <c r="J7" s="20"/>
      <c r="K7" s="18"/>
      <c r="M7" s="9"/>
      <c r="N7" s="9"/>
      <c r="O7" s="9"/>
      <c r="P7" s="9"/>
      <c r="Q7" s="9"/>
    </row>
    <row r="8" spans="2:17" s="11" customFormat="1" ht="15.75">
      <c r="B8" s="21"/>
      <c r="C8" s="431"/>
      <c r="D8" s="432"/>
      <c r="E8" s="22"/>
      <c r="F8" s="84">
        <f>IF(OR(C8=""),"",C8*0.86897624191)</f>
      </c>
      <c r="G8" s="47"/>
      <c r="H8" s="444">
        <f>IF(OR(C8=""),"",C8*1.609344)</f>
      </c>
      <c r="I8" s="444"/>
      <c r="J8" s="48"/>
      <c r="K8" s="23"/>
      <c r="L8" s="12"/>
      <c r="M8" s="10"/>
      <c r="N8" s="10"/>
      <c r="O8" s="10"/>
      <c r="P8" s="10"/>
      <c r="Q8" s="10"/>
    </row>
    <row r="9" spans="2:17" ht="12.75">
      <c r="B9" s="16"/>
      <c r="C9" s="425" t="s">
        <v>137</v>
      </c>
      <c r="D9" s="425"/>
      <c r="E9" s="17"/>
      <c r="F9" s="1" t="s">
        <v>139</v>
      </c>
      <c r="G9" s="17"/>
      <c r="H9" s="425" t="s">
        <v>138</v>
      </c>
      <c r="I9" s="425"/>
      <c r="J9" s="20"/>
      <c r="K9" s="18"/>
      <c r="M9" s="9"/>
      <c r="N9" s="9"/>
      <c r="O9" s="9"/>
      <c r="P9" s="9"/>
      <c r="Q9" s="9"/>
    </row>
    <row r="10" spans="2:17" ht="9" customHeight="1" thickBot="1">
      <c r="B10" s="25"/>
      <c r="C10" s="80"/>
      <c r="D10" s="80"/>
      <c r="E10" s="26"/>
      <c r="F10" s="80"/>
      <c r="G10" s="26"/>
      <c r="H10" s="80"/>
      <c r="I10" s="80"/>
      <c r="J10" s="24"/>
      <c r="K10" s="27"/>
      <c r="M10" s="9"/>
      <c r="N10" s="9"/>
      <c r="O10" s="9"/>
      <c r="P10" s="9"/>
      <c r="Q10" s="9"/>
    </row>
    <row r="11" spans="2:17" ht="9" customHeight="1" thickTop="1">
      <c r="B11" s="16"/>
      <c r="C11" s="1"/>
      <c r="D11" s="1"/>
      <c r="E11" s="17"/>
      <c r="F11" s="1"/>
      <c r="G11" s="17"/>
      <c r="H11" s="1"/>
      <c r="I11" s="1"/>
      <c r="J11" s="20"/>
      <c r="K11" s="18"/>
      <c r="M11" s="9"/>
      <c r="N11" s="9"/>
      <c r="O11" s="9"/>
      <c r="P11" s="9"/>
      <c r="Q11" s="9"/>
    </row>
    <row r="12" spans="2:17" ht="12.75">
      <c r="B12" s="16"/>
      <c r="C12" s="425" t="s">
        <v>159</v>
      </c>
      <c r="D12" s="425"/>
      <c r="E12" s="17"/>
      <c r="F12" s="1" t="s">
        <v>162</v>
      </c>
      <c r="G12" s="1"/>
      <c r="H12" s="425" t="s">
        <v>161</v>
      </c>
      <c r="I12" s="425"/>
      <c r="J12" s="20"/>
      <c r="K12" s="18"/>
      <c r="M12" s="9"/>
      <c r="N12" s="9"/>
      <c r="O12" s="9"/>
      <c r="P12" s="9"/>
      <c r="Q12" s="9"/>
    </row>
    <row r="13" spans="2:17" s="11" customFormat="1" ht="15.75">
      <c r="B13" s="21"/>
      <c r="C13" s="431"/>
      <c r="D13" s="432"/>
      <c r="E13" s="22"/>
      <c r="F13" s="84">
        <f>IF(OR(C13=""),"",C13*1.150779448)</f>
      </c>
      <c r="G13" s="47"/>
      <c r="H13" s="444">
        <f>IF(OR(C13=""),"",C13*1.852)</f>
      </c>
      <c r="I13" s="444"/>
      <c r="J13" s="48"/>
      <c r="K13" s="23"/>
      <c r="L13" s="12"/>
      <c r="M13" s="10"/>
      <c r="N13" s="10"/>
      <c r="O13" s="10"/>
      <c r="P13" s="10"/>
      <c r="Q13" s="10"/>
    </row>
    <row r="14" spans="2:17" ht="12.75">
      <c r="B14" s="16"/>
      <c r="C14" s="425" t="s">
        <v>139</v>
      </c>
      <c r="D14" s="425"/>
      <c r="E14" s="17"/>
      <c r="F14" s="1" t="s">
        <v>137</v>
      </c>
      <c r="G14" s="1"/>
      <c r="H14" s="425" t="s">
        <v>138</v>
      </c>
      <c r="I14" s="425"/>
      <c r="J14" s="20"/>
      <c r="K14" s="18"/>
      <c r="M14" s="9"/>
      <c r="N14" s="9"/>
      <c r="O14" s="9"/>
      <c r="P14" s="9"/>
      <c r="Q14" s="9"/>
    </row>
    <row r="15" spans="2:17" ht="9" customHeight="1" thickBot="1">
      <c r="B15" s="31"/>
      <c r="C15" s="44"/>
      <c r="D15" s="44"/>
      <c r="E15" s="32"/>
      <c r="F15" s="44"/>
      <c r="G15" s="32"/>
      <c r="H15" s="44"/>
      <c r="I15" s="44"/>
      <c r="J15" s="34"/>
      <c r="K15" s="35"/>
      <c r="M15" s="9"/>
      <c r="N15" s="9"/>
      <c r="O15" s="9"/>
      <c r="P15" s="9"/>
      <c r="Q15" s="9"/>
    </row>
    <row r="16" spans="3:17" ht="12.75">
      <c r="C16" s="5"/>
      <c r="D16" s="5"/>
      <c r="H16" s="6"/>
      <c r="I16" s="13"/>
      <c r="K16" s="5"/>
      <c r="L16" s="9"/>
      <c r="M16" s="9"/>
      <c r="N16" s="9"/>
      <c r="O16" s="9"/>
      <c r="P16" s="9"/>
      <c r="Q16" s="9"/>
    </row>
    <row r="17" spans="13:17" ht="12.75">
      <c r="M17" s="9"/>
      <c r="N17" s="9"/>
      <c r="O17" s="9"/>
      <c r="P17" s="9"/>
      <c r="Q17" s="9"/>
    </row>
    <row r="22" spans="9:14" ht="12.75">
      <c r="I22" s="79"/>
      <c r="J22" s="79"/>
      <c r="K22" s="79"/>
      <c r="L22" s="79"/>
      <c r="M22" s="79"/>
      <c r="N22" s="79"/>
    </row>
  </sheetData>
  <mergeCells count="15">
    <mergeCell ref="C14:D14"/>
    <mergeCell ref="H14:I14"/>
    <mergeCell ref="H2:K2"/>
    <mergeCell ref="H3:K3"/>
    <mergeCell ref="B2:G3"/>
    <mergeCell ref="C9:D9"/>
    <mergeCell ref="H9:I9"/>
    <mergeCell ref="H7:I7"/>
    <mergeCell ref="C8:D8"/>
    <mergeCell ref="C7:D7"/>
    <mergeCell ref="H8:I8"/>
    <mergeCell ref="C12:D12"/>
    <mergeCell ref="H12:I12"/>
    <mergeCell ref="C13:D13"/>
    <mergeCell ref="H13:I13"/>
  </mergeCells>
  <dataValidations count="1">
    <dataValidation type="decimal" allowBlank="1" showInputMessage="1" showErrorMessage="1" errorTitle="Please Re-enter" error="Numbers Only" sqref="C8:D8 C13:D13">
      <formula1>0.000001</formula1>
      <formula2>999999</formula2>
    </dataValidation>
  </dataValidations>
  <hyperlinks>
    <hyperlink ref="H3" r:id="rId1" display="www.ajhw.co.uk"/>
    <hyperlink ref="H2:K2" location="Introduction!A1" display="A.J.H. Computer Service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&amp;LBritish Imperial units Conversions - Speed&amp;RDownloaded from www.ajhw.co.uk</oddHeader>
    <oddFooter>&amp;LA.J.H. Computer Services&amp;R© AJH 2016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P2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2" width="1.421875" style="5" customWidth="1"/>
    <col min="3" max="3" width="2.8515625" style="6" customWidth="1"/>
    <col min="4" max="4" width="4.28125" style="6" customWidth="1"/>
    <col min="5" max="5" width="12.8515625" style="5" customWidth="1"/>
    <col min="6" max="6" width="5.7109375" style="5" customWidth="1"/>
    <col min="7" max="7" width="10.00390625" style="5" customWidth="1"/>
    <col min="8" max="8" width="12.8515625" style="5" customWidth="1"/>
    <col min="9" max="9" width="5.7109375" style="5" customWidth="1"/>
    <col min="10" max="10" width="9.7109375" style="5" customWidth="1"/>
    <col min="11" max="11" width="12.8515625" style="5" customWidth="1"/>
    <col min="12" max="12" width="5.7109375" style="6" customWidth="1"/>
    <col min="13" max="13" width="16.8515625" style="9" hidden="1" customWidth="1"/>
    <col min="14" max="16384" width="9.140625" style="5" customWidth="1"/>
  </cols>
  <sheetData>
    <row r="1" ht="7.5" customHeight="1" thickBot="1"/>
    <row r="2" spans="2:16" ht="18.75" customHeight="1">
      <c r="B2" s="456" t="s">
        <v>13</v>
      </c>
      <c r="C2" s="457"/>
      <c r="D2" s="457"/>
      <c r="E2" s="457"/>
      <c r="F2" s="457"/>
      <c r="G2" s="457"/>
      <c r="H2" s="457"/>
      <c r="I2" s="394" t="s">
        <v>1</v>
      </c>
      <c r="J2" s="394"/>
      <c r="K2" s="394"/>
      <c r="L2" s="395"/>
      <c r="N2" s="9"/>
      <c r="O2" s="9"/>
      <c r="P2" s="9"/>
    </row>
    <row r="3" spans="2:16" ht="12.75" customHeight="1" thickBot="1">
      <c r="B3" s="458"/>
      <c r="C3" s="459"/>
      <c r="D3" s="459"/>
      <c r="E3" s="459"/>
      <c r="F3" s="459"/>
      <c r="G3" s="459"/>
      <c r="H3" s="459"/>
      <c r="I3" s="396" t="s">
        <v>0</v>
      </c>
      <c r="J3" s="396"/>
      <c r="K3" s="396"/>
      <c r="L3" s="383"/>
      <c r="N3" s="9"/>
      <c r="O3" s="9"/>
      <c r="P3" s="9"/>
    </row>
    <row r="4" spans="2:16" ht="13.5" thickTop="1">
      <c r="B4" s="16"/>
      <c r="C4" s="17"/>
      <c r="D4" s="29"/>
      <c r="E4" s="17"/>
      <c r="F4" s="17"/>
      <c r="G4" s="17"/>
      <c r="H4" s="17"/>
      <c r="I4" s="20"/>
      <c r="J4" s="20"/>
      <c r="K4" s="20"/>
      <c r="L4" s="18"/>
      <c r="N4" s="9"/>
      <c r="O4" s="9"/>
      <c r="P4" s="9"/>
    </row>
    <row r="5" spans="2:16" ht="18">
      <c r="B5" s="16"/>
      <c r="C5" s="45" t="s">
        <v>121</v>
      </c>
      <c r="D5" s="29"/>
      <c r="E5" s="17"/>
      <c r="F5" s="17"/>
      <c r="G5" s="17"/>
      <c r="H5" s="17"/>
      <c r="I5" s="20"/>
      <c r="J5" s="20"/>
      <c r="K5" s="20"/>
      <c r="L5" s="18"/>
      <c r="N5" s="9"/>
      <c r="O5" s="9"/>
      <c r="P5" s="9"/>
    </row>
    <row r="6" spans="2:16" ht="7.5" customHeight="1">
      <c r="B6" s="16"/>
      <c r="C6" s="45"/>
      <c r="D6" s="29"/>
      <c r="E6" s="17"/>
      <c r="F6" s="17"/>
      <c r="G6" s="17"/>
      <c r="H6" s="17"/>
      <c r="I6" s="20"/>
      <c r="J6" s="20"/>
      <c r="K6" s="20"/>
      <c r="L6" s="18"/>
      <c r="N6" s="9"/>
      <c r="O6" s="9"/>
      <c r="P6" s="9"/>
    </row>
    <row r="7" spans="2:16" ht="12.75" customHeight="1">
      <c r="B7" s="70"/>
      <c r="C7" s="2"/>
      <c r="D7" s="69" t="s">
        <v>127</v>
      </c>
      <c r="E7" s="29"/>
      <c r="F7" s="55"/>
      <c r="G7" s="20" t="s">
        <v>130</v>
      </c>
      <c r="H7" s="20"/>
      <c r="I7" s="1"/>
      <c r="J7" s="20" t="s">
        <v>128</v>
      </c>
      <c r="K7" s="20"/>
      <c r="L7" s="72"/>
      <c r="N7" s="9"/>
      <c r="O7" s="9"/>
      <c r="P7" s="9"/>
    </row>
    <row r="8" spans="2:16" s="11" customFormat="1" ht="15.75" customHeight="1">
      <c r="B8" s="71"/>
      <c r="C8" s="4"/>
      <c r="D8" s="73"/>
      <c r="E8" s="329"/>
      <c r="F8" s="22"/>
      <c r="G8" s="1"/>
      <c r="H8" s="329"/>
      <c r="I8" s="455"/>
      <c r="J8" s="455"/>
      <c r="K8" s="329"/>
      <c r="L8" s="23"/>
      <c r="M8" s="10">
        <f>E8*33.863886667</f>
        <v>0</v>
      </c>
      <c r="N8" s="10"/>
      <c r="O8" s="10"/>
      <c r="P8" s="10"/>
    </row>
    <row r="9" spans="2:16" ht="12.75" customHeight="1">
      <c r="B9" s="70"/>
      <c r="C9" s="2"/>
      <c r="D9" s="69"/>
      <c r="E9" s="14" t="s">
        <v>125</v>
      </c>
      <c r="F9" s="55"/>
      <c r="G9" s="1"/>
      <c r="H9" s="1" t="s">
        <v>126</v>
      </c>
      <c r="I9" s="425"/>
      <c r="J9" s="425"/>
      <c r="K9" s="1" t="s">
        <v>122</v>
      </c>
      <c r="L9" s="18"/>
      <c r="M9" s="9">
        <f>H8*0.47880258889</f>
        <v>0</v>
      </c>
      <c r="N9" s="9"/>
      <c r="O9" s="9"/>
      <c r="P9" s="9"/>
    </row>
    <row r="10" spans="2:16" ht="6" customHeight="1">
      <c r="B10" s="70"/>
      <c r="C10" s="2"/>
      <c r="D10" s="69"/>
      <c r="E10" s="14"/>
      <c r="F10" s="55"/>
      <c r="G10" s="1"/>
      <c r="H10" s="55"/>
      <c r="I10" s="1"/>
      <c r="J10" s="1"/>
      <c r="K10" s="1"/>
      <c r="L10" s="18"/>
      <c r="M10" s="9">
        <f>K8*68.9475728</f>
        <v>0</v>
      </c>
      <c r="N10" s="9"/>
      <c r="O10" s="9"/>
      <c r="P10" s="9"/>
    </row>
    <row r="11" spans="2:16" ht="12.75" customHeight="1">
      <c r="B11" s="16"/>
      <c r="C11" s="1"/>
      <c r="D11" s="20"/>
      <c r="E11" s="20"/>
      <c r="F11" s="1"/>
      <c r="G11" s="68"/>
      <c r="H11" s="17"/>
      <c r="I11" s="425" t="s">
        <v>132</v>
      </c>
      <c r="J11" s="425"/>
      <c r="K11" s="20"/>
      <c r="L11" s="18"/>
      <c r="M11" s="9">
        <f>SUM(M8:M10)</f>
        <v>0</v>
      </c>
      <c r="N11" s="9"/>
      <c r="O11" s="9"/>
      <c r="P11" s="9"/>
    </row>
    <row r="12" spans="2:16" ht="15.75">
      <c r="B12" s="16"/>
      <c r="C12" s="78" t="s">
        <v>134</v>
      </c>
      <c r="D12" s="1"/>
      <c r="E12" s="55"/>
      <c r="F12" s="1"/>
      <c r="G12" s="75"/>
      <c r="H12" s="17"/>
      <c r="I12" s="444">
        <f>IF(OR(M11&lt;0.001),"",M11)</f>
      </c>
      <c r="J12" s="444"/>
      <c r="K12" s="77"/>
      <c r="L12" s="18"/>
      <c r="M12" s="9">
        <f>IF(OR(M11=""),"",M11*0.00098692316931)</f>
        <v>0</v>
      </c>
      <c r="N12" s="9"/>
      <c r="O12" s="9"/>
      <c r="P12" s="9"/>
    </row>
    <row r="13" spans="2:16" ht="12.75" customHeight="1">
      <c r="B13" s="16"/>
      <c r="C13" s="20" t="s">
        <v>135</v>
      </c>
      <c r="D13" s="1"/>
      <c r="E13" s="1"/>
      <c r="F13" s="453"/>
      <c r="G13" s="453"/>
      <c r="H13" s="17"/>
      <c r="I13" s="425" t="s">
        <v>129</v>
      </c>
      <c r="J13" s="425"/>
      <c r="K13" s="1"/>
      <c r="L13" s="18"/>
      <c r="N13" s="9"/>
      <c r="O13" s="9"/>
      <c r="P13" s="9"/>
    </row>
    <row r="14" spans="2:16" s="11" customFormat="1" ht="6" customHeight="1">
      <c r="B14" s="71"/>
      <c r="C14" s="4"/>
      <c r="D14" s="22"/>
      <c r="E14" s="76"/>
      <c r="F14" s="452"/>
      <c r="G14" s="452"/>
      <c r="H14" s="22"/>
      <c r="I14" s="48"/>
      <c r="J14" s="48"/>
      <c r="K14" s="48"/>
      <c r="L14" s="23"/>
      <c r="M14" s="10"/>
      <c r="N14" s="10"/>
      <c r="O14" s="10"/>
      <c r="P14" s="10"/>
    </row>
    <row r="15" spans="2:16" ht="12.75">
      <c r="B15" s="70"/>
      <c r="C15" s="2"/>
      <c r="D15" s="20"/>
      <c r="E15" s="20"/>
      <c r="F15" s="453" t="s">
        <v>133</v>
      </c>
      <c r="G15" s="453"/>
      <c r="H15" s="1"/>
      <c r="I15" s="425" t="s">
        <v>131</v>
      </c>
      <c r="J15" s="425"/>
      <c r="K15" s="1"/>
      <c r="L15" s="72"/>
      <c r="N15" s="9"/>
      <c r="O15" s="9"/>
      <c r="P15" s="9"/>
    </row>
    <row r="16" spans="2:16" s="11" customFormat="1" ht="15.75">
      <c r="B16" s="71"/>
      <c r="C16" s="4"/>
      <c r="D16" s="1"/>
      <c r="E16" s="55"/>
      <c r="F16" s="454">
        <f>IF(OR(M12&lt;0.01),"",M12)</f>
      </c>
      <c r="G16" s="454"/>
      <c r="H16" s="47"/>
      <c r="I16" s="444">
        <f>IF(OR(M11&lt;1),"",M11/1000)</f>
      </c>
      <c r="J16" s="444"/>
      <c r="K16" s="74"/>
      <c r="L16" s="23"/>
      <c r="M16" s="10"/>
      <c r="N16" s="10"/>
      <c r="O16" s="10"/>
      <c r="P16" s="10"/>
    </row>
    <row r="17" spans="2:16" ht="12.75">
      <c r="B17" s="70"/>
      <c r="C17" s="2"/>
      <c r="D17" s="1"/>
      <c r="E17" s="1"/>
      <c r="F17" s="425" t="s">
        <v>123</v>
      </c>
      <c r="G17" s="425"/>
      <c r="H17" s="17"/>
      <c r="I17" s="425" t="s">
        <v>124</v>
      </c>
      <c r="J17" s="425"/>
      <c r="K17" s="1"/>
      <c r="L17" s="18"/>
      <c r="N17" s="9"/>
      <c r="O17" s="9"/>
      <c r="P17" s="9"/>
    </row>
    <row r="18" spans="2:16" ht="13.5" thickBot="1">
      <c r="B18" s="31"/>
      <c r="C18" s="44"/>
      <c r="D18" s="44"/>
      <c r="E18" s="32"/>
      <c r="F18" s="44"/>
      <c r="G18" s="44"/>
      <c r="H18" s="32"/>
      <c r="I18" s="44"/>
      <c r="J18" s="44"/>
      <c r="K18" s="44"/>
      <c r="L18" s="35"/>
      <c r="N18" s="9"/>
      <c r="O18" s="9"/>
      <c r="P18" s="9"/>
    </row>
    <row r="19" spans="3:16" ht="12.75">
      <c r="C19" s="5"/>
      <c r="D19" s="5"/>
      <c r="I19" s="6"/>
      <c r="J19" s="13"/>
      <c r="K19" s="13"/>
      <c r="L19" s="5"/>
      <c r="N19" s="9"/>
      <c r="O19" s="9"/>
      <c r="P19" s="9"/>
    </row>
    <row r="20" spans="14:16" ht="12.75">
      <c r="N20" s="9"/>
      <c r="O20" s="9"/>
      <c r="P20" s="9"/>
    </row>
  </sheetData>
  <mergeCells count="16">
    <mergeCell ref="B2:H3"/>
    <mergeCell ref="I2:L2"/>
    <mergeCell ref="I3:L3"/>
    <mergeCell ref="I11:J11"/>
    <mergeCell ref="I17:J17"/>
    <mergeCell ref="I8:J8"/>
    <mergeCell ref="I9:J9"/>
    <mergeCell ref="I15:J15"/>
    <mergeCell ref="I16:J16"/>
    <mergeCell ref="I13:J13"/>
    <mergeCell ref="I12:J12"/>
    <mergeCell ref="F17:G17"/>
    <mergeCell ref="F14:G14"/>
    <mergeCell ref="F13:G13"/>
    <mergeCell ref="F15:G15"/>
    <mergeCell ref="F16:G16"/>
  </mergeCells>
  <dataValidations count="1">
    <dataValidation type="decimal" allowBlank="1" showInputMessage="1" showErrorMessage="1" errorTitle="Please Re-enter" error="Numbers Only" sqref="E8 H8 K8">
      <formula1>0.000001</formula1>
      <formula2>999999</formula2>
    </dataValidation>
  </dataValidations>
  <hyperlinks>
    <hyperlink ref="I3" r:id="rId1" display="www.ajhw.co.uk"/>
    <hyperlink ref="I2:L2" location="Introduction!A1" display="A.J.H. Computer Services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4"/>
  <headerFooter alignWithMargins="0">
    <oddHeader>&amp;LBritish Imperial units Conversions - Pressure&amp;RDownloaded from www.ajhw.co.uk</oddHeader>
    <oddFooter>&amp;LA.J.H. Computer Services&amp;R© AJH 2016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British Imperial units Conversions</dc:title>
  <dc:subject>A.J.H. Computer Services</dc:subject>
  <dc:creator>AJH (www.ajhw.co.uk)</dc:creator>
  <cp:keywords>British Imperial units Conversions</cp:keywords>
  <dc:description>© A.J.H. Computer Services All Rights Reserved
This file is for academic use only, and is provided by A.J.H. Computer Services on an "as is" basis.</dc:description>
  <cp:lastModifiedBy>AJH</cp:lastModifiedBy>
  <cp:lastPrinted>2016-06-21T01:38:37Z</cp:lastPrinted>
  <dcterms:created xsi:type="dcterms:W3CDTF">2004-11-04T10:19:12Z</dcterms:created>
  <dcterms:modified xsi:type="dcterms:W3CDTF">2024-01-28T09:09:10Z</dcterms:modified>
  <cp:category>Excel V3 (2024)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